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85" yWindow="-15" windowWidth="9630" windowHeight="11955" activeTab="8"/>
  </bookViews>
  <sheets>
    <sheet name="Riepilogo anno 2016" sheetId="16" r:id="rId1"/>
    <sheet name="Silvestri" sheetId="1" r:id="rId2"/>
    <sheet name="Pratola" sheetId="4" r:id="rId3"/>
    <sheet name="Cassano" sheetId="5" r:id="rId4"/>
    <sheet name="Del Re" sheetId="6" r:id="rId5"/>
    <sheet name="De Renzis" sheetId="7" r:id="rId6"/>
    <sheet name="Ferrante" sheetId="8" r:id="rId7"/>
    <sheet name="Giorgi" sheetId="9" r:id="rId8"/>
    <sheet name="Leo" sheetId="10" r:id="rId9"/>
    <sheet name="Melis" sheetId="11" r:id="rId10"/>
    <sheet name="Morlini" sheetId="12" r:id="rId11"/>
    <sheet name="Napolitano" sheetId="13" r:id="rId12"/>
    <sheet name="Perilli" sheetId="14" r:id="rId13"/>
    <sheet name="Russo" sheetId="15" r:id="rId14"/>
  </sheets>
  <calcPr calcId="145621"/>
</workbook>
</file>

<file path=xl/calcChain.xml><?xml version="1.0" encoding="utf-8"?>
<calcChain xmlns="http://schemas.openxmlformats.org/spreadsheetml/2006/main">
  <c r="C19" i="15" l="1"/>
  <c r="B19" i="15"/>
  <c r="D18" i="15"/>
  <c r="C18" i="15"/>
  <c r="B18" i="15"/>
  <c r="D17" i="15"/>
  <c r="C17" i="15"/>
  <c r="B17" i="15"/>
  <c r="D16" i="15"/>
  <c r="C16" i="15"/>
  <c r="B16" i="15"/>
  <c r="D14" i="15"/>
  <c r="C14" i="15"/>
  <c r="B14" i="15"/>
  <c r="D9" i="15"/>
  <c r="C9" i="15"/>
  <c r="B9" i="15"/>
  <c r="C8" i="15"/>
  <c r="B8" i="15"/>
  <c r="B7" i="15"/>
  <c r="C6" i="15"/>
  <c r="B6" i="15"/>
  <c r="D5" i="15"/>
  <c r="C5" i="15"/>
  <c r="B5" i="15"/>
  <c r="D4" i="15"/>
  <c r="C4" i="15"/>
  <c r="C19" i="14"/>
  <c r="B19" i="14"/>
  <c r="C18" i="14"/>
  <c r="B18" i="14"/>
  <c r="C17" i="14"/>
  <c r="B17" i="14"/>
  <c r="D16" i="14"/>
  <c r="C16" i="14"/>
  <c r="B16" i="14"/>
  <c r="D14" i="14"/>
  <c r="C14" i="14"/>
  <c r="B14" i="14"/>
  <c r="C9" i="14"/>
  <c r="B9" i="14"/>
  <c r="D8" i="14"/>
  <c r="C8" i="14"/>
  <c r="B8" i="14"/>
  <c r="C7" i="14"/>
  <c r="B7" i="14"/>
  <c r="D6" i="14"/>
  <c r="C6" i="14"/>
  <c r="B6" i="14"/>
  <c r="C5" i="14"/>
  <c r="B5" i="14"/>
  <c r="C4" i="14"/>
  <c r="B4" i="14"/>
  <c r="D19" i="13"/>
  <c r="C19" i="13"/>
  <c r="B19" i="13"/>
  <c r="D18" i="13"/>
  <c r="C18" i="13"/>
  <c r="B18" i="13"/>
  <c r="D17" i="13"/>
  <c r="C17" i="13"/>
  <c r="B17" i="13"/>
  <c r="D16" i="13"/>
  <c r="C16" i="13"/>
  <c r="B16" i="13"/>
  <c r="D14" i="13"/>
  <c r="C14" i="13"/>
  <c r="B14" i="13"/>
  <c r="D9" i="13"/>
  <c r="C9" i="13"/>
  <c r="B9" i="13"/>
  <c r="D8" i="13"/>
  <c r="C8" i="13"/>
  <c r="B8" i="13"/>
  <c r="C7" i="13"/>
  <c r="D6" i="13"/>
  <c r="C6" i="13"/>
  <c r="B6" i="13"/>
  <c r="D5" i="13"/>
  <c r="C5" i="13"/>
  <c r="B5" i="13"/>
  <c r="D4" i="13"/>
  <c r="B4" i="13"/>
  <c r="C19" i="12"/>
  <c r="B19" i="12"/>
  <c r="D18" i="12"/>
  <c r="C18" i="12"/>
  <c r="B18" i="12"/>
  <c r="D17" i="12"/>
  <c r="C17" i="12"/>
  <c r="B17" i="12"/>
  <c r="D16" i="12"/>
  <c r="C16" i="12"/>
  <c r="B16" i="12"/>
  <c r="D14" i="12"/>
  <c r="C14" i="12"/>
  <c r="B14" i="12"/>
  <c r="D9" i="12"/>
  <c r="C9" i="12"/>
  <c r="B9" i="12"/>
  <c r="D8" i="12"/>
  <c r="C8" i="12"/>
  <c r="B8" i="12"/>
  <c r="C7" i="12"/>
  <c r="B7" i="12"/>
  <c r="D6" i="12"/>
  <c r="C6" i="12"/>
  <c r="B6" i="12"/>
  <c r="D5" i="12"/>
  <c r="C5" i="12"/>
  <c r="B5" i="12"/>
  <c r="D4" i="12"/>
  <c r="C4" i="12"/>
  <c r="B4" i="12"/>
  <c r="B19" i="11"/>
  <c r="B18" i="11"/>
  <c r="B17" i="11"/>
  <c r="B16" i="11"/>
  <c r="B14" i="11"/>
  <c r="D9" i="11"/>
  <c r="C9" i="11"/>
  <c r="B9" i="11"/>
  <c r="C6" i="11"/>
  <c r="B6" i="11"/>
  <c r="B5" i="11"/>
  <c r="B4" i="11"/>
  <c r="D19" i="10"/>
  <c r="C19" i="10"/>
  <c r="B19" i="10"/>
  <c r="C18" i="10"/>
  <c r="B18" i="10"/>
  <c r="C17" i="10"/>
  <c r="B17" i="10"/>
  <c r="D16" i="10"/>
  <c r="C16" i="10"/>
  <c r="B16" i="10"/>
  <c r="D14" i="10"/>
  <c r="C14" i="10"/>
  <c r="D9" i="10"/>
  <c r="C9" i="10"/>
  <c r="B9" i="10"/>
  <c r="D8" i="10"/>
  <c r="C8" i="10"/>
  <c r="D7" i="10"/>
  <c r="C7" i="10"/>
  <c r="B7" i="10"/>
  <c r="D6" i="10"/>
  <c r="C6" i="10"/>
  <c r="B6" i="10"/>
  <c r="D5" i="10"/>
  <c r="C5" i="10"/>
  <c r="B5" i="10"/>
  <c r="D4" i="10"/>
  <c r="B4" i="10"/>
  <c r="C19" i="9"/>
  <c r="B19" i="9"/>
  <c r="B18" i="9"/>
  <c r="C17" i="9"/>
  <c r="B17" i="9"/>
  <c r="D16" i="9"/>
  <c r="C16" i="9"/>
  <c r="B16" i="9"/>
  <c r="D14" i="9"/>
  <c r="C14" i="9"/>
  <c r="B14" i="9"/>
  <c r="C9" i="9"/>
  <c r="B9" i="9"/>
  <c r="D8" i="9"/>
  <c r="C8" i="9"/>
  <c r="B8" i="9"/>
  <c r="C7" i="9"/>
  <c r="B7" i="9"/>
  <c r="D6" i="9"/>
  <c r="C6" i="9"/>
  <c r="B6" i="9"/>
  <c r="D5" i="9"/>
  <c r="B5" i="9"/>
  <c r="C19" i="8"/>
  <c r="B19" i="8"/>
  <c r="C18" i="8"/>
  <c r="B18" i="8"/>
  <c r="D17" i="8"/>
  <c r="C17" i="8"/>
  <c r="B17" i="8"/>
  <c r="D16" i="8"/>
  <c r="C16" i="8"/>
  <c r="B16" i="8"/>
  <c r="C14" i="8"/>
  <c r="B14" i="8"/>
  <c r="D9" i="8"/>
  <c r="C9" i="8"/>
  <c r="B9" i="8"/>
  <c r="B8" i="8"/>
  <c r="C7" i="8"/>
  <c r="B7" i="8"/>
  <c r="B6" i="8"/>
  <c r="B5" i="8"/>
  <c r="D4" i="8"/>
  <c r="C4" i="8"/>
  <c r="B4" i="8"/>
  <c r="D19" i="6"/>
  <c r="C19" i="6"/>
  <c r="B19" i="6"/>
  <c r="B18" i="6"/>
  <c r="B17" i="6"/>
  <c r="B14" i="6"/>
  <c r="D8" i="6"/>
  <c r="C8" i="6"/>
  <c r="B8" i="6"/>
  <c r="B6" i="6"/>
  <c r="D5" i="6"/>
  <c r="C5" i="6"/>
  <c r="B5" i="6"/>
  <c r="C4" i="6"/>
  <c r="B4" i="6"/>
  <c r="D19" i="5"/>
  <c r="C19" i="5"/>
  <c r="B19" i="5"/>
  <c r="C18" i="5"/>
  <c r="B18" i="5"/>
  <c r="C17" i="5"/>
  <c r="B17" i="5"/>
  <c r="C16" i="5"/>
  <c r="B16" i="5"/>
  <c r="C14" i="5"/>
  <c r="B14" i="5"/>
  <c r="D9" i="5"/>
  <c r="C9" i="5"/>
  <c r="B9" i="5"/>
  <c r="D8" i="5"/>
  <c r="C8" i="5"/>
  <c r="B8" i="5"/>
  <c r="C7" i="5"/>
  <c r="B7" i="5"/>
  <c r="C6" i="5"/>
  <c r="B6" i="5"/>
  <c r="C5" i="5"/>
  <c r="B5" i="5"/>
  <c r="C4" i="5"/>
  <c r="B4" i="5"/>
  <c r="B19" i="4"/>
  <c r="D18" i="4"/>
  <c r="B18" i="4"/>
  <c r="B17" i="4"/>
  <c r="B14" i="4"/>
  <c r="B9" i="4"/>
  <c r="B7" i="4"/>
  <c r="B6" i="4"/>
  <c r="B5" i="4"/>
  <c r="D4" i="4"/>
  <c r="B4" i="4"/>
  <c r="B7" i="7" l="1"/>
  <c r="C19" i="1"/>
  <c r="D18" i="1"/>
  <c r="C18" i="1"/>
  <c r="C17" i="1"/>
  <c r="D14" i="1"/>
  <c r="C14" i="1"/>
  <c r="C9" i="1"/>
  <c r="D7" i="1"/>
  <c r="B7" i="1"/>
  <c r="C6" i="1"/>
  <c r="D4" i="1"/>
  <c r="D18" i="14" l="1"/>
  <c r="D18" i="7"/>
  <c r="D5" i="5"/>
  <c r="D20" i="15" l="1"/>
  <c r="C20" i="15"/>
  <c r="B20" i="15"/>
  <c r="E19" i="15"/>
  <c r="E18" i="15"/>
  <c r="E17" i="15"/>
  <c r="E16" i="15"/>
  <c r="E15" i="15"/>
  <c r="E14" i="15"/>
  <c r="D10" i="15"/>
  <c r="D21" i="15" s="1"/>
  <c r="D16" i="16" s="1"/>
  <c r="C10" i="15"/>
  <c r="B10" i="15"/>
  <c r="E9" i="15"/>
  <c r="E8" i="15"/>
  <c r="E7" i="15"/>
  <c r="E6" i="15"/>
  <c r="E5" i="15"/>
  <c r="E4" i="15"/>
  <c r="D20" i="14"/>
  <c r="C20" i="14"/>
  <c r="B20" i="14"/>
  <c r="E19" i="14"/>
  <c r="E18" i="14"/>
  <c r="E17" i="14"/>
  <c r="E16" i="14"/>
  <c r="E15" i="14"/>
  <c r="E14" i="14"/>
  <c r="D10" i="14"/>
  <c r="D21" i="14" s="1"/>
  <c r="D15" i="16" s="1"/>
  <c r="C10" i="14"/>
  <c r="B10" i="14"/>
  <c r="B21" i="14" s="1"/>
  <c r="B15" i="16" s="1"/>
  <c r="E9" i="14"/>
  <c r="E8" i="14"/>
  <c r="E7" i="14"/>
  <c r="E6" i="14"/>
  <c r="E5" i="14"/>
  <c r="E4" i="14"/>
  <c r="D20" i="13"/>
  <c r="C20" i="13"/>
  <c r="B20" i="13"/>
  <c r="E19" i="13"/>
  <c r="E18" i="13"/>
  <c r="E17" i="13"/>
  <c r="E16" i="13"/>
  <c r="E15" i="13"/>
  <c r="E14" i="13"/>
  <c r="D10" i="13"/>
  <c r="D21" i="13" s="1"/>
  <c r="D14" i="16" s="1"/>
  <c r="C10" i="13"/>
  <c r="B10" i="13"/>
  <c r="E9" i="13"/>
  <c r="E8" i="13"/>
  <c r="E7" i="13"/>
  <c r="E6" i="13"/>
  <c r="E5" i="13"/>
  <c r="E4" i="13"/>
  <c r="D20" i="12"/>
  <c r="C20" i="12"/>
  <c r="B20" i="12"/>
  <c r="E19" i="12"/>
  <c r="E18" i="12"/>
  <c r="E17" i="12"/>
  <c r="E16" i="12"/>
  <c r="E15" i="12"/>
  <c r="E14" i="12"/>
  <c r="D10" i="12"/>
  <c r="C10" i="12"/>
  <c r="B10" i="12"/>
  <c r="E9" i="12"/>
  <c r="E8" i="12"/>
  <c r="E7" i="12"/>
  <c r="E6" i="12"/>
  <c r="E5" i="12"/>
  <c r="E4" i="12"/>
  <c r="D20" i="11"/>
  <c r="C20" i="11"/>
  <c r="B20" i="11"/>
  <c r="E19" i="11"/>
  <c r="E18" i="11"/>
  <c r="E17" i="11"/>
  <c r="E16" i="11"/>
  <c r="E15" i="11"/>
  <c r="E14" i="11"/>
  <c r="D10" i="11"/>
  <c r="D21" i="11" s="1"/>
  <c r="D12" i="16" s="1"/>
  <c r="C10" i="11"/>
  <c r="B10" i="11"/>
  <c r="E9" i="11"/>
  <c r="E8" i="11"/>
  <c r="E7" i="11"/>
  <c r="E6" i="11"/>
  <c r="E5" i="11"/>
  <c r="E4" i="11"/>
  <c r="D20" i="10"/>
  <c r="C20" i="10"/>
  <c r="B20" i="10"/>
  <c r="E19" i="10"/>
  <c r="E18" i="10"/>
  <c r="E17" i="10"/>
  <c r="E16" i="10"/>
  <c r="E15" i="10"/>
  <c r="E14" i="10"/>
  <c r="D10" i="10"/>
  <c r="C10" i="10"/>
  <c r="B10" i="10"/>
  <c r="E9" i="10"/>
  <c r="E8" i="10"/>
  <c r="E7" i="10"/>
  <c r="E6" i="10"/>
  <c r="E5" i="10"/>
  <c r="E4" i="10"/>
  <c r="D20" i="9"/>
  <c r="C20" i="9"/>
  <c r="B20" i="9"/>
  <c r="E19" i="9"/>
  <c r="E18" i="9"/>
  <c r="E17" i="9"/>
  <c r="E16" i="9"/>
  <c r="E15" i="9"/>
  <c r="E14" i="9"/>
  <c r="D10" i="9"/>
  <c r="C10" i="9"/>
  <c r="B10" i="9"/>
  <c r="E9" i="9"/>
  <c r="E8" i="9"/>
  <c r="E7" i="9"/>
  <c r="E6" i="9"/>
  <c r="E5" i="9"/>
  <c r="E4" i="9"/>
  <c r="D20" i="8"/>
  <c r="C20" i="8"/>
  <c r="B20" i="8"/>
  <c r="E19" i="8"/>
  <c r="E18" i="8"/>
  <c r="E17" i="8"/>
  <c r="E16" i="8"/>
  <c r="E15" i="8"/>
  <c r="E14" i="8"/>
  <c r="D10" i="8"/>
  <c r="C10" i="8"/>
  <c r="C21" i="8" s="1"/>
  <c r="C9" i="16" s="1"/>
  <c r="B10" i="8"/>
  <c r="E9" i="8"/>
  <c r="E8" i="8"/>
  <c r="E7" i="8"/>
  <c r="E6" i="8"/>
  <c r="E5" i="8"/>
  <c r="E4" i="8"/>
  <c r="D20" i="7"/>
  <c r="C20" i="7"/>
  <c r="B20" i="7"/>
  <c r="E19" i="7"/>
  <c r="E18" i="7"/>
  <c r="E17" i="7"/>
  <c r="E16" i="7"/>
  <c r="E15" i="7"/>
  <c r="E14" i="7"/>
  <c r="D10" i="7"/>
  <c r="D21" i="7" s="1"/>
  <c r="D8" i="16" s="1"/>
  <c r="C10" i="7"/>
  <c r="B10" i="7"/>
  <c r="B21" i="7" s="1"/>
  <c r="B8" i="16" s="1"/>
  <c r="E9" i="7"/>
  <c r="E8" i="7"/>
  <c r="E7" i="7"/>
  <c r="E6" i="7"/>
  <c r="E5" i="7"/>
  <c r="E4" i="7"/>
  <c r="D20" i="6"/>
  <c r="C20" i="6"/>
  <c r="B20" i="6"/>
  <c r="E19" i="6"/>
  <c r="E18" i="6"/>
  <c r="E17" i="6"/>
  <c r="E16" i="6"/>
  <c r="E15" i="6"/>
  <c r="E14" i="6"/>
  <c r="D10" i="6"/>
  <c r="C10" i="6"/>
  <c r="C21" i="6" s="1"/>
  <c r="C7" i="16" s="1"/>
  <c r="B10" i="6"/>
  <c r="E9" i="6"/>
  <c r="E8" i="6"/>
  <c r="E7" i="6"/>
  <c r="E6" i="6"/>
  <c r="E5" i="6"/>
  <c r="E4" i="6"/>
  <c r="D20" i="5"/>
  <c r="C20" i="5"/>
  <c r="B20" i="5"/>
  <c r="E19" i="5"/>
  <c r="E18" i="5"/>
  <c r="E17" i="5"/>
  <c r="E16" i="5"/>
  <c r="E15" i="5"/>
  <c r="E14" i="5"/>
  <c r="D10" i="5"/>
  <c r="D21" i="5" s="1"/>
  <c r="D6" i="16" s="1"/>
  <c r="C10" i="5"/>
  <c r="B10" i="5"/>
  <c r="E9" i="5"/>
  <c r="E8" i="5"/>
  <c r="E7" i="5"/>
  <c r="E6" i="5"/>
  <c r="E5" i="5"/>
  <c r="E4" i="5"/>
  <c r="D20" i="4"/>
  <c r="C20" i="4"/>
  <c r="B20" i="4"/>
  <c r="E19" i="4"/>
  <c r="E18" i="4"/>
  <c r="E17" i="4"/>
  <c r="E16" i="4"/>
  <c r="E15" i="4"/>
  <c r="E14" i="4"/>
  <c r="D10" i="4"/>
  <c r="C10" i="4"/>
  <c r="C21" i="4" s="1"/>
  <c r="C5" i="16" s="1"/>
  <c r="B10" i="4"/>
  <c r="B21" i="4" s="1"/>
  <c r="B5" i="16" s="1"/>
  <c r="E9" i="4"/>
  <c r="E8" i="4"/>
  <c r="E7" i="4"/>
  <c r="E6" i="4"/>
  <c r="E5" i="4"/>
  <c r="E4" i="4"/>
  <c r="D20" i="1"/>
  <c r="C20" i="1"/>
  <c r="B20" i="1"/>
  <c r="C10" i="1"/>
  <c r="D10" i="1"/>
  <c r="D21" i="1" s="1"/>
  <c r="D4" i="16" s="1"/>
  <c r="B10" i="1"/>
  <c r="E5" i="1"/>
  <c r="E6" i="1"/>
  <c r="E7" i="1"/>
  <c r="E8" i="1"/>
  <c r="E9" i="1"/>
  <c r="E14" i="1"/>
  <c r="E15" i="1"/>
  <c r="E16" i="1"/>
  <c r="E17" i="1"/>
  <c r="E18" i="1"/>
  <c r="E19" i="1"/>
  <c r="E4" i="1"/>
  <c r="C21" i="14" l="1"/>
  <c r="C15" i="16" s="1"/>
  <c r="C21" i="13"/>
  <c r="C14" i="16" s="1"/>
  <c r="C21" i="12"/>
  <c r="C13" i="16" s="1"/>
  <c r="B21" i="12"/>
  <c r="B13" i="16" s="1"/>
  <c r="C21" i="10"/>
  <c r="C11" i="16" s="1"/>
  <c r="D21" i="9"/>
  <c r="D10" i="16" s="1"/>
  <c r="C21" i="9"/>
  <c r="C10" i="16" s="1"/>
  <c r="B21" i="8"/>
  <c r="B9" i="16" s="1"/>
  <c r="B21" i="6"/>
  <c r="B7" i="16" s="1"/>
  <c r="C21" i="5"/>
  <c r="C6" i="16" s="1"/>
  <c r="C21" i="15"/>
  <c r="C16" i="16" s="1"/>
  <c r="C21" i="11"/>
  <c r="C12" i="16" s="1"/>
  <c r="E10" i="1"/>
  <c r="B21" i="1"/>
  <c r="B4" i="16" s="1"/>
  <c r="C21" i="1"/>
  <c r="C4" i="16" s="1"/>
  <c r="E20" i="4"/>
  <c r="D21" i="4"/>
  <c r="D5" i="16" s="1"/>
  <c r="B21" i="5"/>
  <c r="B6" i="16" s="1"/>
  <c r="D21" i="6"/>
  <c r="D7" i="16" s="1"/>
  <c r="C21" i="7"/>
  <c r="C8" i="16" s="1"/>
  <c r="D21" i="8"/>
  <c r="D9" i="16" s="1"/>
  <c r="B21" i="9"/>
  <c r="B10" i="16" s="1"/>
  <c r="D21" i="10"/>
  <c r="D11" i="16" s="1"/>
  <c r="B21" i="10"/>
  <c r="B11" i="16" s="1"/>
  <c r="B21" i="11"/>
  <c r="B12" i="16" s="1"/>
  <c r="D21" i="12"/>
  <c r="D13" i="16" s="1"/>
  <c r="B21" i="13"/>
  <c r="B14" i="16" s="1"/>
  <c r="B21" i="15"/>
  <c r="B16" i="16" s="1"/>
  <c r="E20" i="10"/>
  <c r="E20" i="7"/>
  <c r="E20" i="5"/>
  <c r="E20" i="15"/>
  <c r="E20" i="14"/>
  <c r="E20" i="13"/>
  <c r="E20" i="12"/>
  <c r="E20" i="9"/>
  <c r="E20" i="6"/>
  <c r="E20" i="11"/>
  <c r="E20" i="8"/>
  <c r="E10" i="7"/>
  <c r="E10" i="14"/>
  <c r="E10" i="13"/>
  <c r="E10" i="12"/>
  <c r="E21" i="12" s="1"/>
  <c r="E13" i="16" s="1"/>
  <c r="E10" i="10"/>
  <c r="E10" i="9"/>
  <c r="E10" i="5"/>
  <c r="E10" i="8"/>
  <c r="E10" i="4"/>
  <c r="E10" i="15"/>
  <c r="E10" i="11"/>
  <c r="E21" i="11" s="1"/>
  <c r="E12" i="16" s="1"/>
  <c r="E10" i="6"/>
  <c r="E20" i="1"/>
  <c r="E21" i="14" l="1"/>
  <c r="E15" i="16" s="1"/>
  <c r="E21" i="13"/>
  <c r="E14" i="16" s="1"/>
  <c r="E21" i="9"/>
  <c r="E10" i="16" s="1"/>
  <c r="E21" i="8"/>
  <c r="E9" i="16" s="1"/>
  <c r="E21" i="15"/>
  <c r="E16" i="16" s="1"/>
  <c r="E21" i="7"/>
  <c r="E8" i="16" s="1"/>
  <c r="C17" i="16"/>
  <c r="E21" i="6"/>
  <c r="E7" i="16" s="1"/>
  <c r="D17" i="16"/>
  <c r="E21" i="1"/>
  <c r="E4" i="16" s="1"/>
  <c r="E21" i="4"/>
  <c r="E5" i="16" s="1"/>
  <c r="E21" i="5"/>
  <c r="E6" i="16" s="1"/>
  <c r="E21" i="10"/>
  <c r="E11" i="16" s="1"/>
  <c r="B17" i="16"/>
  <c r="E17" i="16" l="1"/>
</calcChain>
</file>

<file path=xl/sharedStrings.xml><?xml version="1.0" encoding="utf-8"?>
<sst xmlns="http://schemas.openxmlformats.org/spreadsheetml/2006/main" count="385" uniqueCount="43">
  <si>
    <t>Mese</t>
  </si>
  <si>
    <t>Spese alloggio</t>
  </si>
  <si>
    <t>Spese viaggio</t>
  </si>
  <si>
    <t>Spese vitto</t>
  </si>
  <si>
    <t>Totale Generale</t>
  </si>
  <si>
    <t>TOTALE</t>
  </si>
  <si>
    <t>Segretario Generale Gianluigi Pratola</t>
  </si>
  <si>
    <t>Dott. Francesco Cassano</t>
  </si>
  <si>
    <t>Dott. Andrea Del Re</t>
  </si>
  <si>
    <t>Dott.ssa Luisa De Renzis</t>
  </si>
  <si>
    <t>Dott. Riccardo Ferrante</t>
  </si>
  <si>
    <t>Dott.ssa Nicoletta Giorgi</t>
  </si>
  <si>
    <t>Dott. Guglielmo Leo</t>
  </si>
  <si>
    <t>Dott. Guido Melis</t>
  </si>
  <si>
    <t>Dott. Gianluigi Morlini</t>
  </si>
  <si>
    <t>Dott.ssa Luisa Napolitano</t>
  </si>
  <si>
    <t>Dott. Luca Perilli</t>
  </si>
  <si>
    <t>Dott. Nicola Russo</t>
  </si>
  <si>
    <t>Gennaio 2016</t>
  </si>
  <si>
    <t>Febbraio 2016</t>
  </si>
  <si>
    <t>Marzo 2016</t>
  </si>
  <si>
    <t>Aprile 2016</t>
  </si>
  <si>
    <t>Maggio 2016</t>
  </si>
  <si>
    <t>Giugno 2016</t>
  </si>
  <si>
    <t>Luglio 2016</t>
  </si>
  <si>
    <t>Agosto 2016</t>
  </si>
  <si>
    <t>Settembre 2016</t>
  </si>
  <si>
    <t>Ottobre 2016</t>
  </si>
  <si>
    <t>Novembre 2016</t>
  </si>
  <si>
    <t>Dicembre 2016</t>
  </si>
  <si>
    <t>TOTALE ANNO 2016</t>
  </si>
  <si>
    <t>Pres. Gaetano Silvestri</t>
  </si>
  <si>
    <t>Dott. Gianluigi Pratola</t>
  </si>
  <si>
    <t>Dott. Franco Cassano</t>
  </si>
  <si>
    <t xml:space="preserve">Dott. Andrea Del Re </t>
  </si>
  <si>
    <t>dott.ssa Nicoletta Giorgi</t>
  </si>
  <si>
    <t>dott. Guglielmo Leo</t>
  </si>
  <si>
    <t>Riepilogo anno 2016</t>
  </si>
  <si>
    <t>Rimborso spese viaggio, vitto e alloggio anno 2016</t>
  </si>
  <si>
    <t>Rimborso spese viaggio, vitto e alloggio</t>
  </si>
  <si>
    <t xml:space="preserve">Totale </t>
  </si>
  <si>
    <t>Importi di viaggio di servizio pagati con fondi pubblici oggetto di pubblicazione ai sensi dell'art. 14, c. 1, lett. C) del D.L.gs 33/2013 anno 2016</t>
  </si>
  <si>
    <t>Presidente Prof. Gaetano Silvestri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</si>
</sst>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164" fontId="7" fillId="0" borderId="0" xfId="1" applyNumberFormat="1" applyFont="1"/>
    <xf numFmtId="44" fontId="3" fillId="0" borderId="0" xfId="1" applyFont="1"/>
    <xf numFmtId="0" fontId="6" fillId="0" borderId="1" xfId="0" applyFont="1" applyBorder="1" applyAlignment="1">
      <alignment horizontal="center" vertical="center"/>
    </xf>
    <xf numFmtId="164" fontId="7" fillId="0" borderId="1" xfId="1" applyNumberFormat="1" applyFont="1" applyBorder="1"/>
    <xf numFmtId="0" fontId="5" fillId="2" borderId="1" xfId="0" applyFont="1" applyFill="1" applyBorder="1" applyAlignment="1">
      <alignment horizontal="right"/>
    </xf>
    <xf numFmtId="164" fontId="5" fillId="2" borderId="1" xfId="1" applyNumberFormat="1" applyFont="1" applyFill="1" applyBorder="1"/>
    <xf numFmtId="0" fontId="4" fillId="2" borderId="1" xfId="0" applyFont="1" applyFill="1" applyBorder="1" applyAlignment="1">
      <alignment horizontal="right"/>
    </xf>
    <xf numFmtId="44" fontId="4" fillId="2" borderId="1" xfId="1" applyFont="1" applyFill="1" applyBorder="1"/>
    <xf numFmtId="0" fontId="6" fillId="2" borderId="1" xfId="0" applyFont="1" applyFill="1" applyBorder="1" applyAlignment="1">
      <alignment horizontal="center" vertical="center"/>
    </xf>
    <xf numFmtId="17" fontId="7" fillId="0" borderId="1" xfId="0" quotePrefix="1" applyNumberFormat="1" applyFont="1" applyBorder="1"/>
    <xf numFmtId="0" fontId="7" fillId="0" borderId="1" xfId="0" quotePrefix="1" applyFont="1" applyBorder="1"/>
    <xf numFmtId="0" fontId="4" fillId="2" borderId="1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right" wrapText="1"/>
    </xf>
    <xf numFmtId="164" fontId="7" fillId="0" borderId="1" xfId="1" applyNumberFormat="1" applyFont="1" applyFill="1" applyBorder="1"/>
    <xf numFmtId="164" fontId="7" fillId="3" borderId="1" xfId="1" applyNumberFormat="1" applyFont="1" applyFill="1" applyBorder="1"/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workbookViewId="0">
      <selection activeCell="J11" sqref="J11"/>
    </sheetView>
  </sheetViews>
  <sheetFormatPr defaultRowHeight="15" x14ac:dyDescent="0.25"/>
  <cols>
    <col min="1" max="1" width="14.28515625" style="17" bestFit="1" customWidth="1"/>
    <col min="2" max="2" width="15.7109375" bestFit="1" customWidth="1"/>
    <col min="3" max="3" width="13.42578125" bestFit="1" customWidth="1"/>
    <col min="4" max="4" width="16.7109375" bestFit="1" customWidth="1"/>
    <col min="5" max="5" width="18.7109375" bestFit="1" customWidth="1"/>
  </cols>
  <sheetData>
    <row r="1" spans="1:5" s="1" customFormat="1" ht="42" customHeight="1" x14ac:dyDescent="0.25">
      <c r="A1" s="22" t="s">
        <v>37</v>
      </c>
      <c r="B1" s="22"/>
      <c r="C1" s="22"/>
      <c r="D1" s="22"/>
      <c r="E1" s="22"/>
    </row>
    <row r="2" spans="1:5" s="1" customFormat="1" ht="30" customHeight="1" x14ac:dyDescent="0.25">
      <c r="A2" s="23" t="s">
        <v>39</v>
      </c>
      <c r="B2" s="24"/>
      <c r="C2" s="24"/>
      <c r="D2" s="24"/>
      <c r="E2" s="25"/>
    </row>
    <row r="3" spans="1:5" s="2" customFormat="1" ht="22.5" customHeight="1" x14ac:dyDescent="0.25">
      <c r="A3" s="16" t="s">
        <v>0</v>
      </c>
      <c r="B3" s="6" t="s">
        <v>2</v>
      </c>
      <c r="C3" s="6" t="s">
        <v>3</v>
      </c>
      <c r="D3" s="6" t="s">
        <v>1</v>
      </c>
      <c r="E3" s="21" t="s">
        <v>40</v>
      </c>
    </row>
    <row r="4" spans="1:5" s="1" customFormat="1" ht="36" customHeight="1" x14ac:dyDescent="0.25">
      <c r="A4" s="18" t="s">
        <v>31</v>
      </c>
      <c r="B4" s="19">
        <f>Silvestri!B21</f>
        <v>16035.52</v>
      </c>
      <c r="C4" s="19">
        <f>Silvestri!C21</f>
        <v>885.82999999999993</v>
      </c>
      <c r="D4" s="19">
        <f>Silvestri!D21</f>
        <v>7311.5</v>
      </c>
      <c r="E4" s="20">
        <f>Silvestri!E21</f>
        <v>24232.85</v>
      </c>
    </row>
    <row r="5" spans="1:5" ht="30" x14ac:dyDescent="0.25">
      <c r="A5" s="18" t="s">
        <v>32</v>
      </c>
      <c r="B5" s="19">
        <f>Pratola!B21</f>
        <v>4116.6000000000004</v>
      </c>
      <c r="C5" s="19">
        <f>Pratola!C21</f>
        <v>394.46999999999997</v>
      </c>
      <c r="D5" s="19">
        <f>Pratola!D21</f>
        <v>693</v>
      </c>
      <c r="E5" s="20">
        <f>Pratola!E21</f>
        <v>5204.07</v>
      </c>
    </row>
    <row r="6" spans="1:5" ht="30" x14ac:dyDescent="0.25">
      <c r="A6" s="18" t="s">
        <v>33</v>
      </c>
      <c r="B6" s="19">
        <f>Cassano!B21</f>
        <v>19521.799999999996</v>
      </c>
      <c r="C6" s="19">
        <f>Cassano!C21</f>
        <v>2123.6000000000004</v>
      </c>
      <c r="D6" s="19">
        <f>Cassano!D21</f>
        <v>8590.98</v>
      </c>
      <c r="E6" s="20">
        <f>Cassano!E21</f>
        <v>30236.379999999997</v>
      </c>
    </row>
    <row r="7" spans="1:5" ht="30" x14ac:dyDescent="0.25">
      <c r="A7" s="18" t="s">
        <v>34</v>
      </c>
      <c r="B7" s="19">
        <f>'Del Re'!B21</f>
        <v>2370.4225799999999</v>
      </c>
      <c r="C7" s="19">
        <f>'Del Re'!C21</f>
        <v>1224.4199999999998</v>
      </c>
      <c r="D7" s="19">
        <f>'Del Re'!D21</f>
        <v>908</v>
      </c>
      <c r="E7" s="20">
        <f>'Del Re'!E21</f>
        <v>4502.8425799999995</v>
      </c>
    </row>
    <row r="8" spans="1:5" ht="30" x14ac:dyDescent="0.25">
      <c r="A8" s="18" t="s">
        <v>9</v>
      </c>
      <c r="B8" s="19">
        <f>'De Renzis'!B21</f>
        <v>1950.8</v>
      </c>
      <c r="C8" s="19">
        <f>'De Renzis'!C21</f>
        <v>712.17000000000007</v>
      </c>
      <c r="D8" s="19">
        <f>'De Renzis'!D21</f>
        <v>921.2</v>
      </c>
      <c r="E8" s="20">
        <f>'De Renzis'!E21</f>
        <v>3584.17</v>
      </c>
    </row>
    <row r="9" spans="1:5" ht="30" x14ac:dyDescent="0.25">
      <c r="A9" s="18" t="s">
        <v>10</v>
      </c>
      <c r="B9" s="19">
        <f>Ferrante!B21</f>
        <v>6751</v>
      </c>
      <c r="C9" s="19">
        <f>Ferrante!C21</f>
        <v>1015.96</v>
      </c>
      <c r="D9" s="19">
        <f>Ferrante!D21</f>
        <v>1957.25</v>
      </c>
      <c r="E9" s="20">
        <f>Ferrante!E21</f>
        <v>9724.2099999999991</v>
      </c>
    </row>
    <row r="10" spans="1:5" ht="30" x14ac:dyDescent="0.25">
      <c r="A10" s="18" t="s">
        <v>35</v>
      </c>
      <c r="B10" s="19">
        <f>Giorgi!B21</f>
        <v>5435.0300000000007</v>
      </c>
      <c r="C10" s="19">
        <f>Giorgi!C21</f>
        <v>1076.53</v>
      </c>
      <c r="D10" s="19">
        <f>Giorgi!D21</f>
        <v>3226</v>
      </c>
      <c r="E10" s="20">
        <f>Giorgi!E21</f>
        <v>9737.56</v>
      </c>
    </row>
    <row r="11" spans="1:5" ht="30" x14ac:dyDescent="0.25">
      <c r="A11" s="18" t="s">
        <v>36</v>
      </c>
      <c r="B11" s="19">
        <f>Leo!B21</f>
        <v>11530.009999999998</v>
      </c>
      <c r="C11" s="19">
        <f>Leo!C21</f>
        <v>2728.88</v>
      </c>
      <c r="D11" s="19">
        <f>Leo!D21</f>
        <v>7824.1900000000005</v>
      </c>
      <c r="E11" s="20">
        <f>Leo!E21</f>
        <v>22083.08</v>
      </c>
    </row>
    <row r="12" spans="1:5" ht="30" x14ac:dyDescent="0.25">
      <c r="A12" s="18" t="s">
        <v>13</v>
      </c>
      <c r="B12" s="19">
        <f>Melis!B21</f>
        <v>4707.59</v>
      </c>
      <c r="C12" s="19">
        <f>Melis!C21</f>
        <v>773.75</v>
      </c>
      <c r="D12" s="19">
        <f>Melis!D21</f>
        <v>1957.9</v>
      </c>
      <c r="E12" s="20">
        <f>Melis!E21</f>
        <v>7439.24</v>
      </c>
    </row>
    <row r="13" spans="1:5" ht="30" x14ac:dyDescent="0.25">
      <c r="A13" s="18" t="s">
        <v>14</v>
      </c>
      <c r="B13" s="19">
        <f>Morlini!B21</f>
        <v>9291.4700000000012</v>
      </c>
      <c r="C13" s="19">
        <f>Morlini!C21</f>
        <v>2458.7199999999998</v>
      </c>
      <c r="D13" s="19">
        <f>Morlini!D21</f>
        <v>6010.51</v>
      </c>
      <c r="E13" s="20">
        <f>Morlini!E21</f>
        <v>17760.699999999997</v>
      </c>
    </row>
    <row r="14" spans="1:5" ht="30" x14ac:dyDescent="0.25">
      <c r="A14" s="18" t="s">
        <v>15</v>
      </c>
      <c r="B14" s="19">
        <f>Napolitano!B21</f>
        <v>10633.36</v>
      </c>
      <c r="C14" s="19">
        <f>Napolitano!C21</f>
        <v>3021.85</v>
      </c>
      <c r="D14" s="19">
        <f>Napolitano!D21</f>
        <v>11765.28</v>
      </c>
      <c r="E14" s="20">
        <f>Napolitano!E21</f>
        <v>25420.489999999998</v>
      </c>
    </row>
    <row r="15" spans="1:5" ht="30" x14ac:dyDescent="0.25">
      <c r="A15" s="18" t="s">
        <v>16</v>
      </c>
      <c r="B15" s="19">
        <f>Perilli!B21</f>
        <v>9379.68</v>
      </c>
      <c r="C15" s="19">
        <f>Perilli!C21</f>
        <v>2295.0100000000002</v>
      </c>
      <c r="D15" s="19">
        <f>Perilli!D21</f>
        <v>10437.810000000001</v>
      </c>
      <c r="E15" s="20">
        <f>Perilli!E21</f>
        <v>22112.5</v>
      </c>
    </row>
    <row r="16" spans="1:5" ht="30" x14ac:dyDescent="0.25">
      <c r="A16" s="18" t="s">
        <v>17</v>
      </c>
      <c r="B16" s="19">
        <f>Russo!B21</f>
        <v>8884.23</v>
      </c>
      <c r="C16" s="19">
        <f>Russo!C21</f>
        <v>2593.4499999999998</v>
      </c>
      <c r="D16" s="19">
        <f>Russo!D21</f>
        <v>7828.44</v>
      </c>
      <c r="E16" s="20">
        <f>Russo!E21</f>
        <v>19306.120000000003</v>
      </c>
    </row>
    <row r="17" spans="1:5" ht="29.25" x14ac:dyDescent="0.25">
      <c r="A17" s="15" t="s">
        <v>30</v>
      </c>
      <c r="B17" s="9">
        <f>SUM(B4:B16)</f>
        <v>110607.51258</v>
      </c>
      <c r="C17" s="9">
        <f t="shared" ref="C17:E17" si="0">SUM(C4:C16)</f>
        <v>21304.640000000003</v>
      </c>
      <c r="D17" s="9">
        <f t="shared" si="0"/>
        <v>69432.060000000012</v>
      </c>
      <c r="E17" s="9">
        <f t="shared" si="0"/>
        <v>201344.21257999999</v>
      </c>
    </row>
  </sheetData>
  <mergeCells count="2">
    <mergeCell ref="A1:E1"/>
    <mergeCell ref="A2:E2"/>
  </mergeCells>
  <printOptions horizontalCentered="1" verticalCentered="1"/>
  <pageMargins left="0" right="0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13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22.3+88</f>
        <v>110.3</v>
      </c>
      <c r="C4" s="7">
        <v>63.54</v>
      </c>
      <c r="D4" s="7">
        <v>145</v>
      </c>
      <c r="E4" s="11">
        <f>SUM(B4:D4)</f>
        <v>318.84000000000003</v>
      </c>
    </row>
    <row r="5" spans="1:5" ht="15.75" x14ac:dyDescent="0.25">
      <c r="A5" s="14" t="s">
        <v>19</v>
      </c>
      <c r="B5" s="7">
        <f>75.4+88</f>
        <v>163.4</v>
      </c>
      <c r="C5" s="7">
        <v>110.31</v>
      </c>
      <c r="D5" s="7">
        <v>199</v>
      </c>
      <c r="E5" s="11">
        <f t="shared" ref="E5:E19" si="0">SUM(B5:D5)</f>
        <v>472.71000000000004</v>
      </c>
    </row>
    <row r="6" spans="1:5" ht="15.75" x14ac:dyDescent="0.25">
      <c r="A6" s="14" t="s">
        <v>20</v>
      </c>
      <c r="B6" s="7">
        <f>71.7+225.81</f>
        <v>297.51</v>
      </c>
      <c r="C6" s="7">
        <f>24.5+33.54</f>
        <v>58.04</v>
      </c>
      <c r="D6" s="7">
        <v>0</v>
      </c>
      <c r="E6" s="11">
        <f t="shared" si="0"/>
        <v>355.55</v>
      </c>
    </row>
    <row r="7" spans="1:5" ht="15.75" x14ac:dyDescent="0.25">
      <c r="A7" s="14" t="s">
        <v>21</v>
      </c>
      <c r="B7" s="7">
        <v>525.29999999999995</v>
      </c>
      <c r="C7" s="7">
        <v>83.85</v>
      </c>
      <c r="D7" s="7">
        <v>548</v>
      </c>
      <c r="E7" s="11">
        <f t="shared" si="0"/>
        <v>1157.1500000000001</v>
      </c>
    </row>
    <row r="8" spans="1:5" ht="15.75" x14ac:dyDescent="0.25">
      <c r="A8" s="14" t="s">
        <v>22</v>
      </c>
      <c r="B8" s="7">
        <v>477.33</v>
      </c>
      <c r="C8" s="7">
        <v>46.77</v>
      </c>
      <c r="D8" s="7">
        <v>300</v>
      </c>
      <c r="E8" s="11">
        <f t="shared" si="0"/>
        <v>824.1</v>
      </c>
    </row>
    <row r="9" spans="1:5" ht="15.75" x14ac:dyDescent="0.25">
      <c r="A9" s="14" t="s">
        <v>23</v>
      </c>
      <c r="B9" s="7">
        <f>130.3+367.81</f>
        <v>498.11</v>
      </c>
      <c r="C9" s="7">
        <f>30+80.31</f>
        <v>110.31</v>
      </c>
      <c r="D9" s="7">
        <f>9+114.5</f>
        <v>123.5</v>
      </c>
      <c r="E9" s="11">
        <f t="shared" si="0"/>
        <v>731.92000000000007</v>
      </c>
    </row>
    <row r="10" spans="1:5" ht="30" customHeight="1" x14ac:dyDescent="0.25">
      <c r="A10" s="8" t="s">
        <v>5</v>
      </c>
      <c r="B10" s="9">
        <f>SUM(B4:B9)</f>
        <v>2071.9499999999998</v>
      </c>
      <c r="C10" s="9">
        <f t="shared" ref="C10:E10" si="1">SUM(C4:C9)</f>
        <v>472.82</v>
      </c>
      <c r="D10" s="9">
        <f t="shared" si="1"/>
        <v>1315.5</v>
      </c>
      <c r="E10" s="9">
        <f t="shared" si="1"/>
        <v>3860.27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63.9+469.52</f>
        <v>533.41999999999996</v>
      </c>
      <c r="C14" s="7">
        <v>76.77</v>
      </c>
      <c r="D14" s="7">
        <v>199</v>
      </c>
      <c r="E14" s="11">
        <f t="shared" si="0"/>
        <v>809.18999999999994</v>
      </c>
    </row>
    <row r="15" spans="1:5" ht="15.75" x14ac:dyDescent="0.25">
      <c r="A15" s="14" t="s">
        <v>25</v>
      </c>
      <c r="B15" s="7">
        <v>0</v>
      </c>
      <c r="C15" s="7">
        <v>0</v>
      </c>
      <c r="D15" s="7">
        <v>136.4</v>
      </c>
      <c r="E15" s="11">
        <f t="shared" si="0"/>
        <v>136.4</v>
      </c>
    </row>
    <row r="16" spans="1:5" ht="15.75" x14ac:dyDescent="0.25">
      <c r="A16" s="14" t="s">
        <v>26</v>
      </c>
      <c r="B16" s="7">
        <f>56+517.8</f>
        <v>573.79999999999995</v>
      </c>
      <c r="C16" s="7">
        <v>0</v>
      </c>
      <c r="D16" s="7">
        <v>114.5</v>
      </c>
      <c r="E16" s="11">
        <f t="shared" si="0"/>
        <v>688.3</v>
      </c>
    </row>
    <row r="17" spans="1:5" ht="15.75" x14ac:dyDescent="0.25">
      <c r="A17" s="14" t="s">
        <v>27</v>
      </c>
      <c r="B17" s="7">
        <f>298+392.7</f>
        <v>690.7</v>
      </c>
      <c r="C17" s="7">
        <v>80.31</v>
      </c>
      <c r="D17" s="7">
        <v>0</v>
      </c>
      <c r="E17" s="11">
        <f t="shared" si="0"/>
        <v>771.01</v>
      </c>
    </row>
    <row r="18" spans="1:5" ht="15.75" x14ac:dyDescent="0.25">
      <c r="A18" s="14" t="s">
        <v>28</v>
      </c>
      <c r="B18" s="7">
        <f>28+596.76</f>
        <v>624.76</v>
      </c>
      <c r="C18" s="7">
        <v>80.31</v>
      </c>
      <c r="D18" s="7">
        <v>93.5</v>
      </c>
      <c r="E18" s="11">
        <f t="shared" si="0"/>
        <v>798.56999999999994</v>
      </c>
    </row>
    <row r="19" spans="1:5" ht="15.75" x14ac:dyDescent="0.25">
      <c r="A19" s="14" t="s">
        <v>29</v>
      </c>
      <c r="B19" s="7">
        <f>8+204.96</f>
        <v>212.96</v>
      </c>
      <c r="C19" s="7">
        <v>63.54</v>
      </c>
      <c r="D19" s="7">
        <v>99</v>
      </c>
      <c r="E19" s="11">
        <f t="shared" si="0"/>
        <v>375.5</v>
      </c>
    </row>
    <row r="20" spans="1:5" ht="27" customHeight="1" x14ac:dyDescent="0.25">
      <c r="A20" s="10" t="s">
        <v>5</v>
      </c>
      <c r="B20" s="9">
        <f>SUM(B14:B19)</f>
        <v>2635.64</v>
      </c>
      <c r="C20" s="9">
        <f t="shared" ref="C20:E20" si="2">SUM(C14:C19)</f>
        <v>300.93</v>
      </c>
      <c r="D20" s="9">
        <f t="shared" si="2"/>
        <v>642.4</v>
      </c>
      <c r="E20" s="9">
        <f t="shared" si="2"/>
        <v>3578.9699999999993</v>
      </c>
    </row>
    <row r="21" spans="1:5" ht="36" customHeight="1" x14ac:dyDescent="0.25">
      <c r="A21" s="15" t="s">
        <v>30</v>
      </c>
      <c r="B21" s="9">
        <f>SUM(B10,B20)</f>
        <v>4707.59</v>
      </c>
      <c r="C21" s="9">
        <f t="shared" ref="C21:E21" si="3">SUM(C10,C20)</f>
        <v>773.75</v>
      </c>
      <c r="D21" s="9">
        <f t="shared" si="3"/>
        <v>1957.9</v>
      </c>
      <c r="E21" s="9">
        <f t="shared" si="3"/>
        <v>7439.24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14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48.92+518.8</f>
        <v>567.71999999999991</v>
      </c>
      <c r="C4" s="7">
        <f>22.6+110.31</f>
        <v>132.91</v>
      </c>
      <c r="D4" s="7">
        <f>4.5+240</f>
        <v>244.5</v>
      </c>
      <c r="E4" s="11">
        <f>SUM(B4:D4)</f>
        <v>945.12999999999988</v>
      </c>
    </row>
    <row r="5" spans="1:5" ht="15.75" x14ac:dyDescent="0.25">
      <c r="A5" s="14" t="s">
        <v>19</v>
      </c>
      <c r="B5" s="7">
        <f>37.5+596.8</f>
        <v>634.29999999999995</v>
      </c>
      <c r="C5" s="7">
        <f>48.3+46.77</f>
        <v>95.07</v>
      </c>
      <c r="D5" s="7">
        <f>4+221.5</f>
        <v>225.5</v>
      </c>
      <c r="E5" s="11">
        <f t="shared" ref="E5:E19" si="0">SUM(B5:D5)</f>
        <v>954.86999999999989</v>
      </c>
    </row>
    <row r="6" spans="1:5" ht="15.75" x14ac:dyDescent="0.25">
      <c r="A6" s="14" t="s">
        <v>20</v>
      </c>
      <c r="B6" s="7">
        <f>70.15+540.1</f>
        <v>610.25</v>
      </c>
      <c r="C6" s="7">
        <f>83.9+150</f>
        <v>233.9</v>
      </c>
      <c r="D6" s="7">
        <f>4+290</f>
        <v>294</v>
      </c>
      <c r="E6" s="11">
        <f t="shared" si="0"/>
        <v>1138.1500000000001</v>
      </c>
    </row>
    <row r="7" spans="1:5" ht="15.75" x14ac:dyDescent="0.25">
      <c r="A7" s="14" t="s">
        <v>21</v>
      </c>
      <c r="B7" s="7">
        <f>56.88+917.71</f>
        <v>974.59</v>
      </c>
      <c r="C7" s="7">
        <f>22+263.85</f>
        <v>285.85000000000002</v>
      </c>
      <c r="D7" s="7">
        <v>916</v>
      </c>
      <c r="E7" s="11">
        <f t="shared" si="0"/>
        <v>2176.44</v>
      </c>
    </row>
    <row r="8" spans="1:5" ht="15.75" x14ac:dyDescent="0.25">
      <c r="A8" s="14" t="s">
        <v>22</v>
      </c>
      <c r="B8" s="7">
        <f>115.09+1613.94</f>
        <v>1729.03</v>
      </c>
      <c r="C8" s="7">
        <f>316.34+16.77</f>
        <v>333.10999999999996</v>
      </c>
      <c r="D8" s="7">
        <f>14+800</f>
        <v>814</v>
      </c>
      <c r="E8" s="11">
        <f t="shared" si="0"/>
        <v>2876.14</v>
      </c>
    </row>
    <row r="9" spans="1:5" ht="15.75" x14ac:dyDescent="0.25">
      <c r="A9" s="14" t="s">
        <v>23</v>
      </c>
      <c r="B9" s="7">
        <f>311.5+577.8</f>
        <v>889.3</v>
      </c>
      <c r="C9" s="7">
        <f>176.5+50.31</f>
        <v>226.81</v>
      </c>
      <c r="D9" s="7">
        <f>4+439.5</f>
        <v>443.5</v>
      </c>
      <c r="E9" s="11">
        <f t="shared" si="0"/>
        <v>1559.61</v>
      </c>
    </row>
    <row r="10" spans="1:5" ht="30" customHeight="1" x14ac:dyDescent="0.25">
      <c r="A10" s="8" t="s">
        <v>5</v>
      </c>
      <c r="B10" s="9">
        <f>SUM(B4:B9)</f>
        <v>5405.1900000000005</v>
      </c>
      <c r="C10" s="9">
        <f t="shared" ref="C10:E10" si="1">SUM(C4:C9)</f>
        <v>1307.6499999999999</v>
      </c>
      <c r="D10" s="9">
        <f t="shared" si="1"/>
        <v>2937.5</v>
      </c>
      <c r="E10" s="9">
        <f t="shared" si="1"/>
        <v>9650.34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133.28+469.52</f>
        <v>602.79999999999995</v>
      </c>
      <c r="C14" s="7">
        <f>50.6+63.54</f>
        <v>114.14</v>
      </c>
      <c r="D14" s="7">
        <f>8+199</f>
        <v>207</v>
      </c>
      <c r="E14" s="11">
        <f t="shared" si="0"/>
        <v>923.93999999999994</v>
      </c>
    </row>
    <row r="15" spans="1:5" ht="15.75" x14ac:dyDescent="0.25">
      <c r="A15" s="14" t="s">
        <v>25</v>
      </c>
      <c r="B15" s="7">
        <v>162</v>
      </c>
      <c r="C15" s="7">
        <v>0</v>
      </c>
      <c r="D15" s="7">
        <v>89</v>
      </c>
      <c r="E15" s="11">
        <f t="shared" si="0"/>
        <v>251</v>
      </c>
    </row>
    <row r="16" spans="1:5" ht="15.75" x14ac:dyDescent="0.25">
      <c r="A16" s="14" t="s">
        <v>26</v>
      </c>
      <c r="B16" s="7">
        <f>47.5+1122.2</f>
        <v>1169.7</v>
      </c>
      <c r="C16" s="7">
        <f>130+16.77</f>
        <v>146.77000000000001</v>
      </c>
      <c r="D16" s="7">
        <f>10.5+1219.01</f>
        <v>1229.51</v>
      </c>
      <c r="E16" s="11">
        <f t="shared" si="0"/>
        <v>2545.98</v>
      </c>
    </row>
    <row r="17" spans="1:5" ht="15.75" x14ac:dyDescent="0.25">
      <c r="A17" s="14" t="s">
        <v>27</v>
      </c>
      <c r="B17" s="7">
        <f>203.48+534.5</f>
        <v>737.98</v>
      </c>
      <c r="C17" s="7">
        <f>160.6+260.31</f>
        <v>420.90999999999997</v>
      </c>
      <c r="D17" s="7">
        <f>23+489</f>
        <v>512</v>
      </c>
      <c r="E17" s="11">
        <f t="shared" si="0"/>
        <v>1670.8899999999999</v>
      </c>
    </row>
    <row r="18" spans="1:5" ht="15.75" x14ac:dyDescent="0.25">
      <c r="A18" s="14" t="s">
        <v>28</v>
      </c>
      <c r="B18" s="7">
        <f>12+594.8</f>
        <v>606.79999999999995</v>
      </c>
      <c r="C18" s="7">
        <f>106.5+230.31</f>
        <v>336.81</v>
      </c>
      <c r="D18" s="7">
        <f>415+283.5+9</f>
        <v>707.5</v>
      </c>
      <c r="E18" s="11">
        <f t="shared" si="0"/>
        <v>1651.11</v>
      </c>
    </row>
    <row r="19" spans="1:5" ht="15.75" x14ac:dyDescent="0.25">
      <c r="A19" s="14" t="s">
        <v>29</v>
      </c>
      <c r="B19" s="7">
        <f>44+563</f>
        <v>607</v>
      </c>
      <c r="C19" s="7">
        <f>68.9+63.54</f>
        <v>132.44</v>
      </c>
      <c r="D19" s="7">
        <v>328</v>
      </c>
      <c r="E19" s="11">
        <f t="shared" si="0"/>
        <v>1067.44</v>
      </c>
    </row>
    <row r="20" spans="1:5" ht="27" customHeight="1" x14ac:dyDescent="0.25">
      <c r="A20" s="10" t="s">
        <v>5</v>
      </c>
      <c r="B20" s="9">
        <f>SUM(B14:B19)</f>
        <v>3886.2799999999997</v>
      </c>
      <c r="C20" s="9">
        <f t="shared" ref="C20:E20" si="2">SUM(C14:C19)</f>
        <v>1151.07</v>
      </c>
      <c r="D20" s="9">
        <f t="shared" si="2"/>
        <v>3073.01</v>
      </c>
      <c r="E20" s="9">
        <f t="shared" si="2"/>
        <v>8110.3599999999988</v>
      </c>
    </row>
    <row r="21" spans="1:5" ht="36" customHeight="1" x14ac:dyDescent="0.25">
      <c r="A21" s="15" t="s">
        <v>30</v>
      </c>
      <c r="B21" s="9">
        <f>SUM(B10,B20)</f>
        <v>9291.4700000000012</v>
      </c>
      <c r="C21" s="9">
        <f t="shared" ref="C21:E21" si="3">SUM(C10,C20)</f>
        <v>2458.7199999999998</v>
      </c>
      <c r="D21" s="9">
        <f t="shared" si="3"/>
        <v>6010.51</v>
      </c>
      <c r="E21" s="9">
        <f t="shared" si="3"/>
        <v>17760.699999999997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15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119.6+602.4</f>
        <v>722</v>
      </c>
      <c r="C4" s="7">
        <v>80.31</v>
      </c>
      <c r="D4" s="7">
        <f>13.5+508.5</f>
        <v>522</v>
      </c>
      <c r="E4" s="11">
        <f>SUM(B4:D4)</f>
        <v>1324.31</v>
      </c>
    </row>
    <row r="5" spans="1:5" ht="15.75" x14ac:dyDescent="0.25">
      <c r="A5" s="14" t="s">
        <v>19</v>
      </c>
      <c r="B5" s="7">
        <f>255.5+919.31</f>
        <v>1174.81</v>
      </c>
      <c r="C5" s="7">
        <f>32.5+67.08</f>
        <v>99.58</v>
      </c>
      <c r="D5" s="7">
        <f>198+885.5</f>
        <v>1083.5</v>
      </c>
      <c r="E5" s="11">
        <f t="shared" ref="E5:E19" si="0">SUM(B5:D5)</f>
        <v>2357.89</v>
      </c>
    </row>
    <row r="6" spans="1:5" ht="15.75" x14ac:dyDescent="0.25">
      <c r="A6" s="14" t="s">
        <v>20</v>
      </c>
      <c r="B6" s="7">
        <f>194.5+1012</f>
        <v>1206.5</v>
      </c>
      <c r="C6" s="7">
        <f>39+50.31</f>
        <v>89.31</v>
      </c>
      <c r="D6" s="7">
        <f>15+1064.51</f>
        <v>1079.51</v>
      </c>
      <c r="E6" s="11">
        <f t="shared" si="0"/>
        <v>2375.3199999999997</v>
      </c>
    </row>
    <row r="7" spans="1:5" ht="15.75" x14ac:dyDescent="0.25">
      <c r="A7" s="14" t="s">
        <v>21</v>
      </c>
      <c r="B7" s="7">
        <v>640</v>
      </c>
      <c r="C7" s="7">
        <f>69+480.93</f>
        <v>549.93000000000006</v>
      </c>
      <c r="D7" s="7">
        <v>1806.9</v>
      </c>
      <c r="E7" s="11">
        <f t="shared" si="0"/>
        <v>2996.83</v>
      </c>
    </row>
    <row r="8" spans="1:5" ht="15.75" x14ac:dyDescent="0.25">
      <c r="A8" s="14" t="s">
        <v>22</v>
      </c>
      <c r="B8" s="7">
        <f>138.6+873</f>
        <v>1011.6</v>
      </c>
      <c r="C8" s="7">
        <f>15.4+393.54</f>
        <v>408.94</v>
      </c>
      <c r="D8" s="7">
        <f>14+678</f>
        <v>692</v>
      </c>
      <c r="E8" s="11">
        <f t="shared" si="0"/>
        <v>2112.54</v>
      </c>
    </row>
    <row r="9" spans="1:5" ht="15.75" x14ac:dyDescent="0.25">
      <c r="A9" s="14" t="s">
        <v>23</v>
      </c>
      <c r="B9" s="7">
        <f>472.55+805.79</f>
        <v>1278.3399999999999</v>
      </c>
      <c r="C9" s="7">
        <f>108.5+200.31</f>
        <v>308.81</v>
      </c>
      <c r="D9" s="7">
        <f>18+1253.5</f>
        <v>1271.5</v>
      </c>
      <c r="E9" s="11">
        <f t="shared" si="0"/>
        <v>2858.6499999999996</v>
      </c>
    </row>
    <row r="10" spans="1:5" ht="30" customHeight="1" x14ac:dyDescent="0.25">
      <c r="A10" s="8" t="s">
        <v>5</v>
      </c>
      <c r="B10" s="9">
        <f>SUM(B4:B9)</f>
        <v>6033.25</v>
      </c>
      <c r="C10" s="9">
        <f t="shared" ref="C10:E10" si="1">SUM(C4:C9)</f>
        <v>1536.88</v>
      </c>
      <c r="D10" s="9">
        <f t="shared" si="1"/>
        <v>6455.41</v>
      </c>
      <c r="E10" s="9">
        <f t="shared" si="1"/>
        <v>14025.539999999999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109.9+231.35</f>
        <v>341.25</v>
      </c>
      <c r="C14" s="7">
        <f>81+170.31</f>
        <v>251.31</v>
      </c>
      <c r="D14" s="7">
        <f>12+196</f>
        <v>208</v>
      </c>
      <c r="E14" s="11">
        <f t="shared" si="0"/>
        <v>800.56</v>
      </c>
    </row>
    <row r="15" spans="1:5" ht="15.75" x14ac:dyDescent="0.25">
      <c r="A15" s="14" t="s">
        <v>25</v>
      </c>
      <c r="B15" s="7">
        <v>259.35000000000002</v>
      </c>
      <c r="C15" s="7">
        <v>0</v>
      </c>
      <c r="D15" s="7">
        <v>410</v>
      </c>
      <c r="E15" s="11">
        <f t="shared" si="0"/>
        <v>669.35</v>
      </c>
    </row>
    <row r="16" spans="1:5" ht="15.75" x14ac:dyDescent="0.25">
      <c r="A16" s="14" t="s">
        <v>26</v>
      </c>
      <c r="B16" s="7">
        <f>34.5+854.75</f>
        <v>889.25</v>
      </c>
      <c r="C16" s="7">
        <f>46.9+233.85</f>
        <v>280.75</v>
      </c>
      <c r="D16" s="7">
        <f>4.5+1413.01</f>
        <v>1417.51</v>
      </c>
      <c r="E16" s="11">
        <f t="shared" si="0"/>
        <v>2587.5100000000002</v>
      </c>
    </row>
    <row r="17" spans="1:5" ht="15.75" x14ac:dyDescent="0.25">
      <c r="A17" s="14" t="s">
        <v>27</v>
      </c>
      <c r="B17" s="7">
        <f>122.5+977.45</f>
        <v>1099.95</v>
      </c>
      <c r="C17" s="7">
        <f>107.35+200.31</f>
        <v>307.65999999999997</v>
      </c>
      <c r="D17" s="7">
        <f>18+1688</f>
        <v>1706</v>
      </c>
      <c r="E17" s="11">
        <f t="shared" si="0"/>
        <v>3113.61</v>
      </c>
    </row>
    <row r="18" spans="1:5" ht="15.75" x14ac:dyDescent="0.25">
      <c r="A18" s="14" t="s">
        <v>28</v>
      </c>
      <c r="B18" s="7">
        <f>130.5+517</f>
        <v>647.5</v>
      </c>
      <c r="C18" s="7">
        <f>26.9+290.31</f>
        <v>317.20999999999998</v>
      </c>
      <c r="D18" s="7">
        <f>21+788.01</f>
        <v>809.01</v>
      </c>
      <c r="E18" s="11">
        <f t="shared" si="0"/>
        <v>1773.72</v>
      </c>
    </row>
    <row r="19" spans="1:5" ht="15.75" x14ac:dyDescent="0.25">
      <c r="A19" s="14" t="s">
        <v>29</v>
      </c>
      <c r="B19" s="7">
        <f>235+1127.81</f>
        <v>1362.81</v>
      </c>
      <c r="C19" s="7">
        <f>54.5+273.54</f>
        <v>328.04</v>
      </c>
      <c r="D19" s="7">
        <f>18+741.35</f>
        <v>759.35</v>
      </c>
      <c r="E19" s="11">
        <f t="shared" si="0"/>
        <v>2450.1999999999998</v>
      </c>
    </row>
    <row r="20" spans="1:5" ht="27" customHeight="1" x14ac:dyDescent="0.25">
      <c r="A20" s="10" t="s">
        <v>5</v>
      </c>
      <c r="B20" s="9">
        <f>SUM(B14:B19)</f>
        <v>4600.1100000000006</v>
      </c>
      <c r="C20" s="9">
        <f t="shared" ref="C20:E20" si="2">SUM(C14:C19)</f>
        <v>1484.9699999999998</v>
      </c>
      <c r="D20" s="9">
        <f t="shared" si="2"/>
        <v>5309.8700000000008</v>
      </c>
      <c r="E20" s="9">
        <f t="shared" si="2"/>
        <v>11394.95</v>
      </c>
    </row>
    <row r="21" spans="1:5" ht="36" customHeight="1" x14ac:dyDescent="0.25">
      <c r="A21" s="15" t="s">
        <v>30</v>
      </c>
      <c r="B21" s="9">
        <f>SUM(B10,B20)</f>
        <v>10633.36</v>
      </c>
      <c r="C21" s="9">
        <f t="shared" ref="C21:E21" si="3">SUM(C10,C20)</f>
        <v>3021.85</v>
      </c>
      <c r="D21" s="9">
        <f t="shared" si="3"/>
        <v>11765.28</v>
      </c>
      <c r="E21" s="9">
        <f t="shared" si="3"/>
        <v>25420.489999999998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16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93.8+471</f>
        <v>564.79999999999995</v>
      </c>
      <c r="C4" s="7">
        <f>8.1+63.54</f>
        <v>71.64</v>
      </c>
      <c r="D4" s="7">
        <v>751</v>
      </c>
      <c r="E4" s="11">
        <f>SUM(B4:D4)</f>
        <v>1387.44</v>
      </c>
    </row>
    <row r="5" spans="1:5" ht="15.75" x14ac:dyDescent="0.25">
      <c r="A5" s="14" t="s">
        <v>19</v>
      </c>
      <c r="B5" s="7">
        <f>132.4+948.89</f>
        <v>1081.29</v>
      </c>
      <c r="C5" s="7">
        <f>145.1+60</f>
        <v>205.1</v>
      </c>
      <c r="D5" s="7">
        <v>417.5</v>
      </c>
      <c r="E5" s="11">
        <f t="shared" ref="E5:E19" si="0">SUM(B5:D5)</f>
        <v>1703.8899999999999</v>
      </c>
    </row>
    <row r="6" spans="1:5" ht="15.75" x14ac:dyDescent="0.25">
      <c r="A6" s="14" t="s">
        <v>20</v>
      </c>
      <c r="B6" s="7">
        <f>111.4+550.17</f>
        <v>661.56999999999994</v>
      </c>
      <c r="C6" s="7">
        <f>67.25+63.54</f>
        <v>130.79</v>
      </c>
      <c r="D6" s="7">
        <f>6+949.51</f>
        <v>955.51</v>
      </c>
      <c r="E6" s="11">
        <f t="shared" si="0"/>
        <v>1747.87</v>
      </c>
    </row>
    <row r="7" spans="1:5" ht="15.75" x14ac:dyDescent="0.25">
      <c r="A7" s="14" t="s">
        <v>21</v>
      </c>
      <c r="B7" s="7">
        <f>208.3+769.39</f>
        <v>977.69</v>
      </c>
      <c r="C7" s="7">
        <f>53.1+220.62</f>
        <v>273.72000000000003</v>
      </c>
      <c r="D7" s="7">
        <v>889</v>
      </c>
      <c r="E7" s="11">
        <f t="shared" si="0"/>
        <v>2140.41</v>
      </c>
    </row>
    <row r="8" spans="1:5" ht="15.75" x14ac:dyDescent="0.25">
      <c r="A8" s="14" t="s">
        <v>22</v>
      </c>
      <c r="B8" s="7">
        <f>322.64+1118.94</f>
        <v>1441.58</v>
      </c>
      <c r="C8" s="7">
        <f>80.55+106.77</f>
        <v>187.32</v>
      </c>
      <c r="D8" s="7">
        <f>130.5+1147.3</f>
        <v>1277.8</v>
      </c>
      <c r="E8" s="11">
        <f t="shared" si="0"/>
        <v>2906.7</v>
      </c>
    </row>
    <row r="9" spans="1:5" ht="15.75" x14ac:dyDescent="0.25">
      <c r="A9" s="14" t="s">
        <v>23</v>
      </c>
      <c r="B9" s="7">
        <f>272.55+839.34</f>
        <v>1111.8900000000001</v>
      </c>
      <c r="C9" s="7">
        <f>96.3+160.62</f>
        <v>256.92</v>
      </c>
      <c r="D9" s="7">
        <v>964.5</v>
      </c>
      <c r="E9" s="11">
        <f t="shared" si="0"/>
        <v>2333.3100000000004</v>
      </c>
    </row>
    <row r="10" spans="1:5" ht="30" customHeight="1" x14ac:dyDescent="0.25">
      <c r="A10" s="8" t="s">
        <v>5</v>
      </c>
      <c r="B10" s="9">
        <f>SUM(B4:B9)</f>
        <v>5838.8200000000006</v>
      </c>
      <c r="C10" s="9">
        <f t="shared" ref="C10:E10" si="1">SUM(C4:C9)</f>
        <v>1125.49</v>
      </c>
      <c r="D10" s="9">
        <f t="shared" si="1"/>
        <v>5255.31</v>
      </c>
      <c r="E10" s="9">
        <f t="shared" si="1"/>
        <v>12219.619999999999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38.8+356</f>
        <v>394.8</v>
      </c>
      <c r="C14" s="7">
        <f>27.78+16.77</f>
        <v>44.55</v>
      </c>
      <c r="D14" s="7">
        <f>12+391</f>
        <v>403</v>
      </c>
      <c r="E14" s="11">
        <f t="shared" si="0"/>
        <v>842.35</v>
      </c>
    </row>
    <row r="15" spans="1:5" ht="15.75" x14ac:dyDescent="0.25">
      <c r="A15" s="14" t="s">
        <v>25</v>
      </c>
      <c r="B15" s="7">
        <v>513.41</v>
      </c>
      <c r="C15" s="7">
        <v>0</v>
      </c>
      <c r="D15" s="7">
        <v>390</v>
      </c>
      <c r="E15" s="11">
        <f t="shared" si="0"/>
        <v>903.41</v>
      </c>
    </row>
    <row r="16" spans="1:5" ht="15.75" x14ac:dyDescent="0.25">
      <c r="A16" s="14" t="s">
        <v>26</v>
      </c>
      <c r="B16" s="7">
        <f>267+486.5</f>
        <v>753.5</v>
      </c>
      <c r="C16" s="7">
        <f>164.83+217.08</f>
        <v>381.91</v>
      </c>
      <c r="D16" s="7">
        <f>27+1627.5</f>
        <v>1654.5</v>
      </c>
      <c r="E16" s="11">
        <f t="shared" si="0"/>
        <v>2789.91</v>
      </c>
    </row>
    <row r="17" spans="1:5" ht="15.75" x14ac:dyDescent="0.25">
      <c r="A17" s="14" t="s">
        <v>27</v>
      </c>
      <c r="B17" s="7">
        <f>127.8+916.95</f>
        <v>1044.75</v>
      </c>
      <c r="C17" s="7">
        <f>73.7+230.31</f>
        <v>304.01</v>
      </c>
      <c r="D17" s="7">
        <v>458</v>
      </c>
      <c r="E17" s="11">
        <f t="shared" si="0"/>
        <v>1806.76</v>
      </c>
    </row>
    <row r="18" spans="1:5" ht="15.75" x14ac:dyDescent="0.25">
      <c r="A18" s="14" t="s">
        <v>28</v>
      </c>
      <c r="B18" s="7">
        <f>319.7+99.9</f>
        <v>419.6</v>
      </c>
      <c r="C18" s="7">
        <f>41.7+290.31</f>
        <v>332.01</v>
      </c>
      <c r="D18" s="7">
        <f>1254+283.5</f>
        <v>1537.5</v>
      </c>
      <c r="E18" s="11">
        <f t="shared" si="0"/>
        <v>2289.11</v>
      </c>
    </row>
    <row r="19" spans="1:5" ht="15.75" x14ac:dyDescent="0.25">
      <c r="A19" s="14" t="s">
        <v>29</v>
      </c>
      <c r="B19" s="7">
        <f>93.8+321</f>
        <v>414.8</v>
      </c>
      <c r="C19" s="7">
        <f>43.5+63.54</f>
        <v>107.03999999999999</v>
      </c>
      <c r="D19" s="7">
        <v>739.5</v>
      </c>
      <c r="E19" s="11">
        <f t="shared" si="0"/>
        <v>1261.3400000000001</v>
      </c>
    </row>
    <row r="20" spans="1:5" ht="27" customHeight="1" x14ac:dyDescent="0.25">
      <c r="A20" s="10" t="s">
        <v>5</v>
      </c>
      <c r="B20" s="9">
        <f>SUM(B14:B19)</f>
        <v>3540.86</v>
      </c>
      <c r="C20" s="9">
        <f t="shared" ref="C20:E20" si="2">SUM(C14:C19)</f>
        <v>1169.52</v>
      </c>
      <c r="D20" s="9">
        <f t="shared" si="2"/>
        <v>5182.5</v>
      </c>
      <c r="E20" s="9">
        <f t="shared" si="2"/>
        <v>9892.880000000001</v>
      </c>
    </row>
    <row r="21" spans="1:5" ht="36" customHeight="1" x14ac:dyDescent="0.25">
      <c r="A21" s="15" t="s">
        <v>30</v>
      </c>
      <c r="B21" s="9">
        <f>SUM(B10,B20)</f>
        <v>9379.68</v>
      </c>
      <c r="C21" s="9">
        <f t="shared" ref="C21:E21" si="3">SUM(C10,C20)</f>
        <v>2295.0100000000002</v>
      </c>
      <c r="D21" s="9">
        <f t="shared" si="3"/>
        <v>10437.810000000001</v>
      </c>
      <c r="E21" s="9">
        <f t="shared" si="3"/>
        <v>22112.5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17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v>18</v>
      </c>
      <c r="C4" s="7">
        <f>3.8+63.54</f>
        <v>67.34</v>
      </c>
      <c r="D4" s="7">
        <f>4.5+145</f>
        <v>149.5</v>
      </c>
      <c r="E4" s="11">
        <f>SUM(B4:D4)</f>
        <v>234.84</v>
      </c>
    </row>
    <row r="5" spans="1:5" ht="15.75" x14ac:dyDescent="0.25">
      <c r="A5" s="14" t="s">
        <v>19</v>
      </c>
      <c r="B5" s="7">
        <f>128.3+825.7</f>
        <v>954</v>
      </c>
      <c r="C5" s="7">
        <f>46.2+76.77</f>
        <v>122.97</v>
      </c>
      <c r="D5" s="7">
        <f>4.5+750.89</f>
        <v>755.39</v>
      </c>
      <c r="E5" s="11">
        <f t="shared" ref="E5:E19" si="0">SUM(B5:D5)</f>
        <v>1832.3600000000001</v>
      </c>
    </row>
    <row r="6" spans="1:5" ht="15.75" x14ac:dyDescent="0.25">
      <c r="A6" s="14" t="s">
        <v>20</v>
      </c>
      <c r="B6" s="7">
        <f>93.2+822</f>
        <v>915.2</v>
      </c>
      <c r="C6" s="7">
        <f>6.9+63.54</f>
        <v>70.44</v>
      </c>
      <c r="D6" s="7">
        <v>696.5</v>
      </c>
      <c r="E6" s="11">
        <f t="shared" si="0"/>
        <v>1682.14</v>
      </c>
    </row>
    <row r="7" spans="1:5" ht="15.75" x14ac:dyDescent="0.25">
      <c r="A7" s="14" t="s">
        <v>21</v>
      </c>
      <c r="B7" s="7">
        <f>139+432.71</f>
        <v>571.71</v>
      </c>
      <c r="C7" s="7">
        <v>254.16</v>
      </c>
      <c r="D7" s="7">
        <v>492</v>
      </c>
      <c r="E7" s="11">
        <f t="shared" si="0"/>
        <v>1317.87</v>
      </c>
    </row>
    <row r="8" spans="1:5" ht="15.75" x14ac:dyDescent="0.25">
      <c r="A8" s="14" t="s">
        <v>22</v>
      </c>
      <c r="B8" s="7">
        <f>172.1+1224.56</f>
        <v>1396.6599999999999</v>
      </c>
      <c r="C8" s="7">
        <f>110+340.62</f>
        <v>450.62</v>
      </c>
      <c r="D8" s="7">
        <v>1539.55</v>
      </c>
      <c r="E8" s="11">
        <f t="shared" si="0"/>
        <v>3386.83</v>
      </c>
    </row>
    <row r="9" spans="1:5" ht="15.75" x14ac:dyDescent="0.25">
      <c r="A9" s="14" t="s">
        <v>23</v>
      </c>
      <c r="B9" s="7">
        <f>304.8+940.5</f>
        <v>1245.3</v>
      </c>
      <c r="C9" s="7">
        <f>131.2+140.31</f>
        <v>271.51</v>
      </c>
      <c r="D9" s="7">
        <f>6+1071.5</f>
        <v>1077.5</v>
      </c>
      <c r="E9" s="11">
        <f t="shared" si="0"/>
        <v>2594.31</v>
      </c>
    </row>
    <row r="10" spans="1:5" ht="30" customHeight="1" x14ac:dyDescent="0.25">
      <c r="A10" s="8" t="s">
        <v>5</v>
      </c>
      <c r="B10" s="9">
        <f>SUM(B4:B9)</f>
        <v>5100.87</v>
      </c>
      <c r="C10" s="9">
        <f t="shared" ref="C10:E10" si="1">SUM(C4:C9)</f>
        <v>1237.04</v>
      </c>
      <c r="D10" s="9">
        <f t="shared" si="1"/>
        <v>4710.4399999999996</v>
      </c>
      <c r="E10" s="9">
        <f t="shared" si="1"/>
        <v>11048.35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24.75" customHeight="1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290.8+173</f>
        <v>463.8</v>
      </c>
      <c r="C14" s="7">
        <f>50+286.77</f>
        <v>336.77</v>
      </c>
      <c r="D14" s="7">
        <f>6+154</f>
        <v>160</v>
      </c>
      <c r="E14" s="11">
        <f t="shared" si="0"/>
        <v>960.56999999999994</v>
      </c>
    </row>
    <row r="15" spans="1:5" ht="15.75" x14ac:dyDescent="0.25">
      <c r="A15" s="14" t="s">
        <v>25</v>
      </c>
      <c r="B15" s="7">
        <v>473.5</v>
      </c>
      <c r="C15" s="7">
        <v>0</v>
      </c>
      <c r="D15" s="7">
        <v>450</v>
      </c>
      <c r="E15" s="11">
        <f t="shared" si="0"/>
        <v>923.5</v>
      </c>
    </row>
    <row r="16" spans="1:5" ht="15.75" x14ac:dyDescent="0.25">
      <c r="A16" s="14" t="s">
        <v>26</v>
      </c>
      <c r="B16" s="7">
        <f>166.9+479.9</f>
        <v>646.79999999999995</v>
      </c>
      <c r="C16" s="7">
        <f>45.1+187.08</f>
        <v>232.18</v>
      </c>
      <c r="D16" s="7">
        <f>10.5+694</f>
        <v>704.5</v>
      </c>
      <c r="E16" s="11">
        <f t="shared" si="0"/>
        <v>1583.48</v>
      </c>
    </row>
    <row r="17" spans="1:5" ht="15.75" x14ac:dyDescent="0.25">
      <c r="A17" s="14" t="s">
        <v>27</v>
      </c>
      <c r="B17" s="7">
        <f>132+797.9</f>
        <v>929.9</v>
      </c>
      <c r="C17" s="7">
        <f>139+320.31</f>
        <v>459.31</v>
      </c>
      <c r="D17" s="7">
        <f>6+698.5</f>
        <v>704.5</v>
      </c>
      <c r="E17" s="11">
        <f t="shared" si="0"/>
        <v>2093.71</v>
      </c>
    </row>
    <row r="18" spans="1:5" ht="15.75" x14ac:dyDescent="0.25">
      <c r="A18" s="14" t="s">
        <v>28</v>
      </c>
      <c r="B18" s="7">
        <f>102.5+463.86</f>
        <v>566.36</v>
      </c>
      <c r="C18" s="7">
        <f>30+140.31</f>
        <v>170.31</v>
      </c>
      <c r="D18" s="7">
        <f>4.5+335</f>
        <v>339.5</v>
      </c>
      <c r="E18" s="11">
        <f t="shared" si="0"/>
        <v>1076.17</v>
      </c>
    </row>
    <row r="19" spans="1:5" ht="15.75" x14ac:dyDescent="0.25">
      <c r="A19" s="14" t="s">
        <v>29</v>
      </c>
      <c r="B19" s="7">
        <f>157.2+545.8</f>
        <v>703</v>
      </c>
      <c r="C19" s="7">
        <f>34.3+123.54</f>
        <v>157.84</v>
      </c>
      <c r="D19" s="7">
        <v>759.5</v>
      </c>
      <c r="E19" s="11">
        <f t="shared" si="0"/>
        <v>1620.3400000000001</v>
      </c>
    </row>
    <row r="20" spans="1:5" ht="27" customHeight="1" x14ac:dyDescent="0.25">
      <c r="A20" s="10" t="s">
        <v>5</v>
      </c>
      <c r="B20" s="9">
        <f>SUM(B14:B19)</f>
        <v>3783.36</v>
      </c>
      <c r="C20" s="9">
        <f t="shared" ref="C20:E20" si="2">SUM(C14:C19)</f>
        <v>1356.4099999999999</v>
      </c>
      <c r="D20" s="9">
        <f t="shared" si="2"/>
        <v>3118</v>
      </c>
      <c r="E20" s="9">
        <f t="shared" si="2"/>
        <v>8257.77</v>
      </c>
    </row>
    <row r="21" spans="1:5" ht="36" customHeight="1" x14ac:dyDescent="0.25">
      <c r="A21" s="15" t="s">
        <v>30</v>
      </c>
      <c r="B21" s="9">
        <f>SUM(B10,B20)</f>
        <v>8884.23</v>
      </c>
      <c r="C21" s="9">
        <f t="shared" ref="C21:E21" si="3">SUM(C10,C20)</f>
        <v>2593.4499999999998</v>
      </c>
      <c r="D21" s="9">
        <f t="shared" si="3"/>
        <v>7828.44</v>
      </c>
      <c r="E21" s="9">
        <f t="shared" si="3"/>
        <v>19306.120000000003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K4" sqref="K4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42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v>1025.75</v>
      </c>
      <c r="C4" s="7">
        <v>80.31</v>
      </c>
      <c r="D4" s="7">
        <f>290+312</f>
        <v>602</v>
      </c>
      <c r="E4" s="11">
        <f>SUM(B4:D4)</f>
        <v>1708.06</v>
      </c>
    </row>
    <row r="5" spans="1:5" ht="15.75" x14ac:dyDescent="0.25">
      <c r="A5" s="14" t="s">
        <v>19</v>
      </c>
      <c r="B5" s="7">
        <v>2420.3000000000002</v>
      </c>
      <c r="C5" s="7">
        <v>34.9</v>
      </c>
      <c r="D5" s="7">
        <v>889.5</v>
      </c>
      <c r="E5" s="11">
        <f t="shared" ref="E5:E19" si="0">SUM(B5:D5)</f>
        <v>3344.7000000000003</v>
      </c>
    </row>
    <row r="6" spans="1:5" ht="15.75" x14ac:dyDescent="0.25">
      <c r="A6" s="14" t="s">
        <v>20</v>
      </c>
      <c r="B6" s="7">
        <v>1490.72</v>
      </c>
      <c r="C6" s="7">
        <f>33.54+0</f>
        <v>33.54</v>
      </c>
      <c r="D6" s="7">
        <v>783</v>
      </c>
      <c r="E6" s="11">
        <f t="shared" si="0"/>
        <v>2307.2600000000002</v>
      </c>
    </row>
    <row r="7" spans="1:5" ht="15.75" x14ac:dyDescent="0.25">
      <c r="A7" s="14" t="s">
        <v>21</v>
      </c>
      <c r="B7" s="7">
        <f>214.3+2374.04</f>
        <v>2588.34</v>
      </c>
      <c r="C7" s="7">
        <v>110.31</v>
      </c>
      <c r="D7" s="7">
        <f>427+283.5</f>
        <v>710.5</v>
      </c>
      <c r="E7" s="11">
        <f t="shared" si="0"/>
        <v>3409.15</v>
      </c>
    </row>
    <row r="8" spans="1:5" ht="15.75" x14ac:dyDescent="0.25">
      <c r="A8" s="14" t="s">
        <v>22</v>
      </c>
      <c r="B8" s="7">
        <v>1459.07</v>
      </c>
      <c r="C8" s="7">
        <v>34.299999999999997</v>
      </c>
      <c r="D8" s="7">
        <v>938</v>
      </c>
      <c r="E8" s="11">
        <f t="shared" si="0"/>
        <v>2431.37</v>
      </c>
    </row>
    <row r="9" spans="1:5" ht="15.75" x14ac:dyDescent="0.25">
      <c r="A9" s="14" t="s">
        <v>23</v>
      </c>
      <c r="B9" s="7">
        <v>1778.04</v>
      </c>
      <c r="C9" s="7">
        <f>33.54+81</f>
        <v>114.53999999999999</v>
      </c>
      <c r="D9" s="7">
        <v>627</v>
      </c>
      <c r="E9" s="11">
        <f t="shared" si="0"/>
        <v>2519.58</v>
      </c>
    </row>
    <row r="10" spans="1:5" ht="30" customHeight="1" x14ac:dyDescent="0.25">
      <c r="A10" s="8" t="s">
        <v>5</v>
      </c>
      <c r="B10" s="9">
        <f>SUM(B4:B9)</f>
        <v>10762.220000000001</v>
      </c>
      <c r="C10" s="9">
        <f t="shared" ref="C10:E10" si="1">SUM(C4:C9)</f>
        <v>407.9</v>
      </c>
      <c r="D10" s="9">
        <f t="shared" si="1"/>
        <v>4550</v>
      </c>
      <c r="E10" s="9">
        <f t="shared" si="1"/>
        <v>15720.12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v>642.29999999999995</v>
      </c>
      <c r="C14" s="7">
        <f>16.77+66.8</f>
        <v>83.57</v>
      </c>
      <c r="D14" s="7">
        <f>198+474</f>
        <v>672</v>
      </c>
      <c r="E14" s="11">
        <f t="shared" si="0"/>
        <v>1397.87</v>
      </c>
    </row>
    <row r="15" spans="1:5" ht="15.75" x14ac:dyDescent="0.25">
      <c r="A15" s="14" t="s">
        <v>25</v>
      </c>
      <c r="B15" s="7">
        <v>0</v>
      </c>
      <c r="C15" s="7">
        <v>0</v>
      </c>
      <c r="D15" s="7">
        <v>0</v>
      </c>
      <c r="E15" s="11">
        <f t="shared" si="0"/>
        <v>0</v>
      </c>
    </row>
    <row r="16" spans="1:5" ht="15.75" x14ac:dyDescent="0.25">
      <c r="A16" s="14" t="s">
        <v>26</v>
      </c>
      <c r="B16" s="7">
        <v>1509.26</v>
      </c>
      <c r="C16" s="7">
        <v>83.4</v>
      </c>
      <c r="D16" s="7">
        <v>624</v>
      </c>
      <c r="E16" s="11">
        <f t="shared" si="0"/>
        <v>2216.66</v>
      </c>
    </row>
    <row r="17" spans="1:5" ht="15.75" x14ac:dyDescent="0.25">
      <c r="A17" s="14" t="s">
        <v>27</v>
      </c>
      <c r="B17" s="7">
        <v>1183.04</v>
      </c>
      <c r="C17" s="7">
        <f>80.31+43.4</f>
        <v>123.71000000000001</v>
      </c>
      <c r="D17" s="7">
        <v>468</v>
      </c>
      <c r="E17" s="11">
        <f t="shared" si="0"/>
        <v>1774.75</v>
      </c>
    </row>
    <row r="18" spans="1:5" ht="15.75" x14ac:dyDescent="0.25">
      <c r="A18" s="14" t="s">
        <v>28</v>
      </c>
      <c r="B18" s="7">
        <v>984.18</v>
      </c>
      <c r="C18" s="7">
        <f>50.31+35.5</f>
        <v>85.81</v>
      </c>
      <c r="D18" s="7">
        <f>100+84.5+312</f>
        <v>496.5</v>
      </c>
      <c r="E18" s="11">
        <f t="shared" si="0"/>
        <v>1566.49</v>
      </c>
    </row>
    <row r="19" spans="1:5" ht="15.75" x14ac:dyDescent="0.25">
      <c r="A19" s="14" t="s">
        <v>29</v>
      </c>
      <c r="B19" s="7">
        <v>954.52</v>
      </c>
      <c r="C19" s="7">
        <f>63.54+37.9</f>
        <v>101.44</v>
      </c>
      <c r="D19" s="7">
        <v>501</v>
      </c>
      <c r="E19" s="11">
        <f t="shared" si="0"/>
        <v>1556.96</v>
      </c>
    </row>
    <row r="20" spans="1:5" ht="27" customHeight="1" x14ac:dyDescent="0.25">
      <c r="A20" s="10" t="s">
        <v>5</v>
      </c>
      <c r="B20" s="9">
        <f>SUM(B14:B19)</f>
        <v>5273.2999999999993</v>
      </c>
      <c r="C20" s="9">
        <f t="shared" ref="C20" si="2">SUM(C14:C19)</f>
        <v>477.93</v>
      </c>
      <c r="D20" s="9">
        <f t="shared" ref="D20" si="3">SUM(D14:D19)</f>
        <v>2761.5</v>
      </c>
      <c r="E20" s="9">
        <f t="shared" ref="E20" si="4">SUM(E14:E19)</f>
        <v>8512.73</v>
      </c>
    </row>
    <row r="21" spans="1:5" ht="36" customHeight="1" x14ac:dyDescent="0.25">
      <c r="A21" s="15" t="s">
        <v>30</v>
      </c>
      <c r="B21" s="9">
        <f>SUM(B10,B20)</f>
        <v>16035.52</v>
      </c>
      <c r="C21" s="9">
        <f t="shared" ref="C21:E21" si="5">SUM(C10,C20)</f>
        <v>885.82999999999993</v>
      </c>
      <c r="D21" s="9">
        <f t="shared" si="5"/>
        <v>7311.5</v>
      </c>
      <c r="E21" s="9">
        <f t="shared" si="5"/>
        <v>24232.85</v>
      </c>
    </row>
  </sheetData>
  <mergeCells count="3">
    <mergeCell ref="A12:E12"/>
    <mergeCell ref="A1:E1"/>
    <mergeCell ref="A2:E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I18" sqref="I18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6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220+40</f>
        <v>260</v>
      </c>
      <c r="C4" s="7">
        <v>76.77</v>
      </c>
      <c r="D4" s="7">
        <f>145+7</f>
        <v>152</v>
      </c>
      <c r="E4" s="11">
        <f>SUM(B4:D4)</f>
        <v>488.77</v>
      </c>
    </row>
    <row r="5" spans="1:5" ht="15.75" x14ac:dyDescent="0.25">
      <c r="A5" s="14" t="s">
        <v>19</v>
      </c>
      <c r="B5" s="7">
        <f>133+50</f>
        <v>183</v>
      </c>
      <c r="C5" s="7">
        <v>30</v>
      </c>
      <c r="D5" s="7">
        <v>170</v>
      </c>
      <c r="E5" s="11">
        <f t="shared" ref="E5:E19" si="0">SUM(B5:D5)</f>
        <v>383</v>
      </c>
    </row>
    <row r="6" spans="1:5" ht="15.75" x14ac:dyDescent="0.25">
      <c r="A6" s="14" t="s">
        <v>20</v>
      </c>
      <c r="B6" s="7">
        <f>363+20.9</f>
        <v>383.9</v>
      </c>
      <c r="C6" s="7">
        <v>0</v>
      </c>
      <c r="D6" s="7">
        <v>0</v>
      </c>
      <c r="E6" s="11">
        <f t="shared" si="0"/>
        <v>383.9</v>
      </c>
    </row>
    <row r="7" spans="1:5" ht="15.75" x14ac:dyDescent="0.25">
      <c r="A7" s="14" t="s">
        <v>21</v>
      </c>
      <c r="B7" s="7">
        <f>659+75</f>
        <v>734</v>
      </c>
      <c r="C7" s="7">
        <v>110.31</v>
      </c>
      <c r="D7" s="7">
        <v>0</v>
      </c>
      <c r="E7" s="11">
        <f t="shared" si="0"/>
        <v>844.31</v>
      </c>
    </row>
    <row r="8" spans="1:5" ht="15.75" x14ac:dyDescent="0.25">
      <c r="A8" s="14" t="s">
        <v>22</v>
      </c>
      <c r="B8" s="7">
        <v>453</v>
      </c>
      <c r="C8" s="7">
        <v>0</v>
      </c>
      <c r="D8" s="7">
        <v>94.5</v>
      </c>
      <c r="E8" s="11">
        <f t="shared" si="0"/>
        <v>547.5</v>
      </c>
    </row>
    <row r="9" spans="1:5" ht="15.75" x14ac:dyDescent="0.25">
      <c r="A9" s="14" t="s">
        <v>23</v>
      </c>
      <c r="B9" s="7">
        <f>271+15</f>
        <v>286</v>
      </c>
      <c r="C9" s="7">
        <v>33.54</v>
      </c>
      <c r="D9" s="7">
        <v>0</v>
      </c>
      <c r="E9" s="11">
        <f t="shared" si="0"/>
        <v>319.54000000000002</v>
      </c>
    </row>
    <row r="10" spans="1:5" ht="30" customHeight="1" x14ac:dyDescent="0.25">
      <c r="A10" s="8" t="s">
        <v>5</v>
      </c>
      <c r="B10" s="9">
        <f>SUM(B4:B9)</f>
        <v>2299.9</v>
      </c>
      <c r="C10" s="9">
        <f t="shared" ref="C10:E10" si="1">SUM(C4:C9)</f>
        <v>250.61999999999998</v>
      </c>
      <c r="D10" s="9">
        <f t="shared" si="1"/>
        <v>416.5</v>
      </c>
      <c r="E10" s="9">
        <f t="shared" si="1"/>
        <v>2967.02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528+71</f>
        <v>599</v>
      </c>
      <c r="C14" s="7">
        <v>16.77</v>
      </c>
      <c r="D14" s="7">
        <v>0</v>
      </c>
      <c r="E14" s="11">
        <f t="shared" si="0"/>
        <v>615.77</v>
      </c>
    </row>
    <row r="15" spans="1:5" ht="15.75" x14ac:dyDescent="0.25">
      <c r="A15" s="14" t="s">
        <v>25</v>
      </c>
      <c r="B15" s="7">
        <v>128</v>
      </c>
      <c r="C15" s="7">
        <v>0</v>
      </c>
      <c r="D15" s="7">
        <v>0</v>
      </c>
      <c r="E15" s="11">
        <f t="shared" si="0"/>
        <v>128</v>
      </c>
    </row>
    <row r="16" spans="1:5" ht="15.75" x14ac:dyDescent="0.25">
      <c r="A16" s="14" t="s">
        <v>26</v>
      </c>
      <c r="B16" s="7">
        <v>384</v>
      </c>
      <c r="C16" s="7">
        <v>0</v>
      </c>
      <c r="D16" s="7">
        <v>0</v>
      </c>
      <c r="E16" s="11">
        <f t="shared" si="0"/>
        <v>384</v>
      </c>
    </row>
    <row r="17" spans="1:5" ht="15.75" x14ac:dyDescent="0.25">
      <c r="A17" s="14" t="s">
        <v>27</v>
      </c>
      <c r="B17" s="7">
        <f>104+50</f>
        <v>154</v>
      </c>
      <c r="C17" s="7">
        <v>63.54</v>
      </c>
      <c r="D17" s="7">
        <v>94.5</v>
      </c>
      <c r="E17" s="11">
        <f t="shared" si="0"/>
        <v>312.03999999999996</v>
      </c>
    </row>
    <row r="18" spans="1:5" ht="15.75" x14ac:dyDescent="0.25">
      <c r="A18" s="14" t="s">
        <v>28</v>
      </c>
      <c r="B18" s="7">
        <f>208+78</f>
        <v>286</v>
      </c>
      <c r="C18" s="7">
        <v>0</v>
      </c>
      <c r="D18" s="7">
        <f>94.5+87.5</f>
        <v>182</v>
      </c>
      <c r="E18" s="11">
        <f t="shared" si="0"/>
        <v>468</v>
      </c>
    </row>
    <row r="19" spans="1:5" ht="15.75" x14ac:dyDescent="0.25">
      <c r="A19" s="14" t="s">
        <v>29</v>
      </c>
      <c r="B19" s="7">
        <f>130+135.7</f>
        <v>265.7</v>
      </c>
      <c r="C19" s="7">
        <v>63.54</v>
      </c>
      <c r="D19" s="7">
        <v>0</v>
      </c>
      <c r="E19" s="11">
        <f t="shared" si="0"/>
        <v>329.24</v>
      </c>
    </row>
    <row r="20" spans="1:5" ht="27" customHeight="1" x14ac:dyDescent="0.25">
      <c r="A20" s="10" t="s">
        <v>5</v>
      </c>
      <c r="B20" s="9">
        <f>SUM(B14:B19)</f>
        <v>1816.7</v>
      </c>
      <c r="C20" s="9">
        <f t="shared" ref="C20:D20" si="2">SUM(C14:C19)</f>
        <v>143.85</v>
      </c>
      <c r="D20" s="9">
        <f t="shared" si="2"/>
        <v>276.5</v>
      </c>
      <c r="E20" s="9">
        <f>SUM(E14:E19)</f>
        <v>2237.0500000000002</v>
      </c>
    </row>
    <row r="21" spans="1:5" ht="36" customHeight="1" x14ac:dyDescent="0.25">
      <c r="A21" s="15" t="s">
        <v>30</v>
      </c>
      <c r="B21" s="9">
        <f>SUM(B10,B20)</f>
        <v>4116.6000000000004</v>
      </c>
      <c r="C21" s="9">
        <f t="shared" ref="C21:E21" si="3">SUM(C10,C20)</f>
        <v>394.46999999999997</v>
      </c>
      <c r="D21" s="9">
        <f t="shared" si="3"/>
        <v>693</v>
      </c>
      <c r="E21" s="9">
        <f t="shared" si="3"/>
        <v>5204.07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7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690.88+366.2</f>
        <v>1057.08</v>
      </c>
      <c r="C4" s="7">
        <f>63.54+107.7</f>
        <v>171.24</v>
      </c>
      <c r="D4" s="7">
        <v>145</v>
      </c>
      <c r="E4" s="11">
        <f>SUM(B4:D4)</f>
        <v>1373.32</v>
      </c>
    </row>
    <row r="5" spans="1:5" ht="15.75" x14ac:dyDescent="0.25">
      <c r="A5" s="14" t="s">
        <v>19</v>
      </c>
      <c r="B5" s="7">
        <f>1440.61+620.2</f>
        <v>2060.81</v>
      </c>
      <c r="C5" s="7">
        <f>76.77+38.6</f>
        <v>115.37</v>
      </c>
      <c r="D5" s="7">
        <f>471.5+189</f>
        <v>660.5</v>
      </c>
      <c r="E5" s="11">
        <f t="shared" ref="E5:E19" si="0">SUM(B5:D5)</f>
        <v>2836.68</v>
      </c>
    </row>
    <row r="6" spans="1:5" ht="15.75" x14ac:dyDescent="0.25">
      <c r="A6" s="14" t="s">
        <v>20</v>
      </c>
      <c r="B6" s="7">
        <f>2070.95+561.96</f>
        <v>2632.91</v>
      </c>
      <c r="C6" s="7">
        <f>106.77+6.4</f>
        <v>113.17</v>
      </c>
      <c r="D6" s="7">
        <v>784</v>
      </c>
      <c r="E6" s="11">
        <f t="shared" si="0"/>
        <v>3530.08</v>
      </c>
    </row>
    <row r="7" spans="1:5" ht="15.75" x14ac:dyDescent="0.25">
      <c r="A7" s="14" t="s">
        <v>21</v>
      </c>
      <c r="B7" s="7">
        <f>1911.77+345.3</f>
        <v>2257.0700000000002</v>
      </c>
      <c r="C7" s="7">
        <f>194.16+144.4</f>
        <v>338.56</v>
      </c>
      <c r="D7" s="7">
        <v>1008.2</v>
      </c>
      <c r="E7" s="11">
        <f t="shared" si="0"/>
        <v>3603.83</v>
      </c>
    </row>
    <row r="8" spans="1:5" ht="15.75" x14ac:dyDescent="0.25">
      <c r="A8" s="14" t="s">
        <v>22</v>
      </c>
      <c r="B8" s="7">
        <f>1543.86+418.8</f>
        <v>1962.6599999999999</v>
      </c>
      <c r="C8" s="7">
        <f>46.77+125.2</f>
        <v>171.97</v>
      </c>
      <c r="D8" s="7">
        <f>753.06+20</f>
        <v>773.06</v>
      </c>
      <c r="E8" s="11">
        <f t="shared" si="0"/>
        <v>2907.6899999999996</v>
      </c>
    </row>
    <row r="9" spans="1:5" ht="15.75" x14ac:dyDescent="0.25">
      <c r="A9" s="14" t="s">
        <v>23</v>
      </c>
      <c r="B9" s="7">
        <f>1240.86+639.1</f>
        <v>1879.96</v>
      </c>
      <c r="C9" s="7">
        <f>110.31+129.5</f>
        <v>239.81</v>
      </c>
      <c r="D9" s="7">
        <f>1090.51+5</f>
        <v>1095.51</v>
      </c>
      <c r="E9" s="11">
        <f t="shared" si="0"/>
        <v>3215.2799999999997</v>
      </c>
    </row>
    <row r="10" spans="1:5" ht="30" customHeight="1" x14ac:dyDescent="0.25">
      <c r="A10" s="8" t="s">
        <v>5</v>
      </c>
      <c r="B10" s="9">
        <f>SUM(B4:B9)</f>
        <v>11850.489999999998</v>
      </c>
      <c r="C10" s="9">
        <f t="shared" ref="C10:E10" si="1">SUM(C4:C9)</f>
        <v>1150.1200000000001</v>
      </c>
      <c r="D10" s="9">
        <f t="shared" si="1"/>
        <v>4466.2699999999995</v>
      </c>
      <c r="E10" s="9">
        <f t="shared" si="1"/>
        <v>17466.879999999997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1063.87+438.3</f>
        <v>1502.1699999999998</v>
      </c>
      <c r="C14" s="7">
        <f>76.77+132.99</f>
        <v>209.76</v>
      </c>
      <c r="D14" s="7">
        <v>857.01</v>
      </c>
      <c r="E14" s="11">
        <f t="shared" si="0"/>
        <v>2568.9399999999996</v>
      </c>
    </row>
    <row r="15" spans="1:5" ht="15.75" x14ac:dyDescent="0.25">
      <c r="A15" s="14" t="s">
        <v>25</v>
      </c>
      <c r="B15" s="7">
        <v>81</v>
      </c>
      <c r="C15" s="7">
        <v>0</v>
      </c>
      <c r="D15" s="7">
        <v>0</v>
      </c>
      <c r="E15" s="11">
        <f t="shared" si="0"/>
        <v>81</v>
      </c>
    </row>
    <row r="16" spans="1:5" ht="15.75" x14ac:dyDescent="0.25">
      <c r="A16" s="14" t="s">
        <v>26</v>
      </c>
      <c r="B16" s="7">
        <f>490.1+159.3</f>
        <v>649.40000000000009</v>
      </c>
      <c r="C16" s="7">
        <f>50.31+65.3</f>
        <v>115.61</v>
      </c>
      <c r="D16" s="7">
        <v>558</v>
      </c>
      <c r="E16" s="11">
        <f t="shared" si="0"/>
        <v>1323.0100000000002</v>
      </c>
    </row>
    <row r="17" spans="1:5" ht="15.75" x14ac:dyDescent="0.25">
      <c r="A17" s="14" t="s">
        <v>27</v>
      </c>
      <c r="B17" s="7">
        <f>1665.18+559.3</f>
        <v>2224.48</v>
      </c>
      <c r="C17" s="7">
        <f>80.31+81.25</f>
        <v>161.56</v>
      </c>
      <c r="D17" s="7">
        <v>844</v>
      </c>
      <c r="E17" s="11">
        <f t="shared" si="0"/>
        <v>3230.04</v>
      </c>
    </row>
    <row r="18" spans="1:5" ht="15.75" x14ac:dyDescent="0.25">
      <c r="A18" s="14" t="s">
        <v>28</v>
      </c>
      <c r="B18" s="7">
        <f>1362.09+448.1</f>
        <v>1810.19</v>
      </c>
      <c r="C18" s="7">
        <f>230.31+127.7</f>
        <v>358.01</v>
      </c>
      <c r="D18" s="7">
        <v>1156.7</v>
      </c>
      <c r="E18" s="11">
        <f t="shared" si="0"/>
        <v>3324.8999999999996</v>
      </c>
    </row>
    <row r="19" spans="1:5" ht="15.75" x14ac:dyDescent="0.25">
      <c r="A19" s="14" t="s">
        <v>29</v>
      </c>
      <c r="B19" s="7">
        <f>783.67+620.4</f>
        <v>1404.07</v>
      </c>
      <c r="C19" s="7">
        <f>123.54+5</f>
        <v>128.54000000000002</v>
      </c>
      <c r="D19" s="7">
        <f>673+36</f>
        <v>709</v>
      </c>
      <c r="E19" s="11">
        <f t="shared" si="0"/>
        <v>2241.6099999999997</v>
      </c>
    </row>
    <row r="20" spans="1:5" ht="27" customHeight="1" x14ac:dyDescent="0.25">
      <c r="A20" s="10" t="s">
        <v>5</v>
      </c>
      <c r="B20" s="9">
        <f>SUM(B14:B19)</f>
        <v>7671.3099999999995</v>
      </c>
      <c r="C20" s="9">
        <f t="shared" ref="C20:E20" si="2">SUM(C14:C19)</f>
        <v>973.48</v>
      </c>
      <c r="D20" s="9">
        <f t="shared" si="2"/>
        <v>4124.71</v>
      </c>
      <c r="E20" s="9">
        <f t="shared" si="2"/>
        <v>12769.5</v>
      </c>
    </row>
    <row r="21" spans="1:5" ht="36" customHeight="1" x14ac:dyDescent="0.25">
      <c r="A21" s="15" t="s">
        <v>30</v>
      </c>
      <c r="B21" s="9">
        <f>SUM(B10,B20)</f>
        <v>19521.799999999996</v>
      </c>
      <c r="C21" s="9">
        <f t="shared" ref="C21:E21" si="3">SUM(C10,C20)</f>
        <v>2123.6000000000004</v>
      </c>
      <c r="D21" s="9">
        <f t="shared" si="3"/>
        <v>8590.98</v>
      </c>
      <c r="E21" s="9">
        <f t="shared" si="3"/>
        <v>30236.379999999997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8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29+176</f>
        <v>205</v>
      </c>
      <c r="C4" s="7">
        <f>590+80.31</f>
        <v>670.31</v>
      </c>
      <c r="D4" s="7">
        <v>0</v>
      </c>
      <c r="E4" s="11">
        <f>SUM(B4:D4)</f>
        <v>875.31</v>
      </c>
    </row>
    <row r="5" spans="1:5" ht="15.75" x14ac:dyDescent="0.25">
      <c r="A5" s="14" t="s">
        <v>19</v>
      </c>
      <c r="B5" s="7">
        <f>75.4+352</f>
        <v>427.4</v>
      </c>
      <c r="C5" s="7">
        <f>25.9+16.77</f>
        <v>42.67</v>
      </c>
      <c r="D5" s="7">
        <f>4+130</f>
        <v>134</v>
      </c>
      <c r="E5" s="11">
        <f t="shared" ref="E5:E19" si="0">SUM(B5:D5)</f>
        <v>604.06999999999994</v>
      </c>
    </row>
    <row r="6" spans="1:5" ht="15.75" x14ac:dyDescent="0.25">
      <c r="A6" s="14" t="s">
        <v>20</v>
      </c>
      <c r="B6" s="7">
        <f>59.5+176</f>
        <v>235.5</v>
      </c>
      <c r="C6" s="7">
        <v>0</v>
      </c>
      <c r="D6" s="7">
        <v>0</v>
      </c>
      <c r="E6" s="11">
        <f t="shared" si="0"/>
        <v>235.5</v>
      </c>
    </row>
    <row r="7" spans="1:5" ht="15.75" x14ac:dyDescent="0.25">
      <c r="A7" s="14" t="s">
        <v>21</v>
      </c>
      <c r="B7" s="7">
        <v>210.12</v>
      </c>
      <c r="C7" s="7">
        <v>83.85</v>
      </c>
      <c r="D7" s="7">
        <v>170</v>
      </c>
      <c r="E7" s="11">
        <f t="shared" si="0"/>
        <v>463.97</v>
      </c>
    </row>
    <row r="8" spans="1:5" ht="15.75" x14ac:dyDescent="0.25">
      <c r="A8" s="14" t="s">
        <v>22</v>
      </c>
      <c r="B8" s="7">
        <f>248.7+384</f>
        <v>632.70000000000005</v>
      </c>
      <c r="C8" s="7">
        <f>52.5+16.77</f>
        <v>69.27</v>
      </c>
      <c r="D8" s="7">
        <f>6+352</f>
        <v>358</v>
      </c>
      <c r="E8" s="11">
        <f t="shared" si="0"/>
        <v>1059.97</v>
      </c>
    </row>
    <row r="9" spans="1:5" ht="15.75" x14ac:dyDescent="0.25">
      <c r="A9" s="14" t="s">
        <v>23</v>
      </c>
      <c r="B9" s="7">
        <v>0</v>
      </c>
      <c r="C9" s="7">
        <v>50.31</v>
      </c>
      <c r="D9" s="7">
        <v>0</v>
      </c>
      <c r="E9" s="11">
        <f t="shared" si="0"/>
        <v>50.31</v>
      </c>
    </row>
    <row r="10" spans="1:5" ht="30" customHeight="1" x14ac:dyDescent="0.25">
      <c r="A10" s="8" t="s">
        <v>5</v>
      </c>
      <c r="B10" s="9">
        <f>SUM(B4:B9)</f>
        <v>1710.72</v>
      </c>
      <c r="C10" s="9">
        <f t="shared" ref="C10:E10" si="1">SUM(C4:C9)</f>
        <v>916.40999999999985</v>
      </c>
      <c r="D10" s="9">
        <f t="shared" si="1"/>
        <v>662</v>
      </c>
      <c r="E10" s="9">
        <f t="shared" si="1"/>
        <v>3289.1299999999997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17.8+128</f>
        <v>145.80000000000001</v>
      </c>
      <c r="C14" s="7">
        <v>16.77</v>
      </c>
      <c r="D14" s="7">
        <v>0</v>
      </c>
      <c r="E14" s="11">
        <f t="shared" si="0"/>
        <v>162.57000000000002</v>
      </c>
    </row>
    <row r="15" spans="1:5" ht="15.75" x14ac:dyDescent="0.25">
      <c r="A15" s="14" t="s">
        <v>25</v>
      </c>
      <c r="B15" s="7">
        <v>128</v>
      </c>
      <c r="C15" s="7">
        <v>0</v>
      </c>
      <c r="D15" s="7">
        <v>130</v>
      </c>
      <c r="E15" s="11">
        <f t="shared" si="0"/>
        <v>258</v>
      </c>
    </row>
    <row r="16" spans="1:5" ht="15.75" x14ac:dyDescent="0.25">
      <c r="A16" s="14" t="s">
        <v>26</v>
      </c>
      <c r="B16" s="7">
        <v>27</v>
      </c>
      <c r="C16" s="7">
        <v>50.31</v>
      </c>
      <c r="D16" s="7">
        <v>0</v>
      </c>
      <c r="E16" s="11">
        <f t="shared" si="0"/>
        <v>77.31</v>
      </c>
    </row>
    <row r="17" spans="1:5" ht="15.75" x14ac:dyDescent="0.25">
      <c r="A17" s="14" t="s">
        <v>27</v>
      </c>
      <c r="B17" s="7">
        <f>52.90258</f>
        <v>52.90258</v>
      </c>
      <c r="C17" s="7">
        <v>80.31</v>
      </c>
      <c r="D17" s="7">
        <v>0</v>
      </c>
      <c r="E17" s="11">
        <f t="shared" si="0"/>
        <v>133.21258</v>
      </c>
    </row>
    <row r="18" spans="1:5" ht="15.75" x14ac:dyDescent="0.25">
      <c r="A18" s="14" t="s">
        <v>28</v>
      </c>
      <c r="B18" s="7">
        <f>21+130</f>
        <v>151</v>
      </c>
      <c r="C18" s="7">
        <v>50.31</v>
      </c>
      <c r="D18" s="7">
        <v>0</v>
      </c>
      <c r="E18" s="11">
        <f t="shared" si="0"/>
        <v>201.31</v>
      </c>
    </row>
    <row r="19" spans="1:5" ht="15.75" x14ac:dyDescent="0.25">
      <c r="A19" s="14" t="s">
        <v>29</v>
      </c>
      <c r="B19" s="7">
        <f>25+130</f>
        <v>155</v>
      </c>
      <c r="C19" s="7">
        <f>30+80.31</f>
        <v>110.31</v>
      </c>
      <c r="D19" s="7">
        <f>6+110</f>
        <v>116</v>
      </c>
      <c r="E19" s="11">
        <f t="shared" si="0"/>
        <v>381.31</v>
      </c>
    </row>
    <row r="20" spans="1:5" ht="27" customHeight="1" x14ac:dyDescent="0.25">
      <c r="A20" s="10" t="s">
        <v>5</v>
      </c>
      <c r="B20" s="9">
        <f>SUM(B14:B19)</f>
        <v>659.70258000000001</v>
      </c>
      <c r="C20" s="9">
        <f t="shared" ref="C20:E20" si="2">SUM(C14:C19)</f>
        <v>308.01</v>
      </c>
      <c r="D20" s="9">
        <f t="shared" si="2"/>
        <v>246</v>
      </c>
      <c r="E20" s="9">
        <f t="shared" si="2"/>
        <v>1213.7125799999999</v>
      </c>
    </row>
    <row r="21" spans="1:5" ht="36" customHeight="1" x14ac:dyDescent="0.25">
      <c r="A21" s="15" t="s">
        <v>30</v>
      </c>
      <c r="B21" s="9">
        <f>SUM(B10,B20)</f>
        <v>2370.4225799999999</v>
      </c>
      <c r="C21" s="9">
        <f t="shared" ref="C21:E21" si="3">SUM(C10,C20)</f>
        <v>1224.4199999999998</v>
      </c>
      <c r="D21" s="9">
        <f t="shared" si="3"/>
        <v>908</v>
      </c>
      <c r="E21" s="9">
        <f t="shared" si="3"/>
        <v>4502.8425799999995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9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v>176</v>
      </c>
      <c r="C4" s="7">
        <v>80.31</v>
      </c>
      <c r="D4" s="7">
        <v>145</v>
      </c>
      <c r="E4" s="11">
        <f>SUM(B4:D4)</f>
        <v>401.31</v>
      </c>
    </row>
    <row r="5" spans="1:5" ht="15.75" x14ac:dyDescent="0.25">
      <c r="A5" s="14" t="s">
        <v>19</v>
      </c>
      <c r="B5" s="7">
        <v>88</v>
      </c>
      <c r="C5" s="7">
        <v>60</v>
      </c>
      <c r="D5" s="7">
        <v>0</v>
      </c>
      <c r="E5" s="11">
        <f t="shared" ref="E5:E19" si="0">SUM(B5:D5)</f>
        <v>148</v>
      </c>
    </row>
    <row r="6" spans="1:5" ht="15.75" x14ac:dyDescent="0.25">
      <c r="A6" s="14" t="s">
        <v>20</v>
      </c>
      <c r="B6" s="7">
        <v>0</v>
      </c>
      <c r="C6" s="7">
        <v>33.54</v>
      </c>
      <c r="D6" s="7">
        <v>0</v>
      </c>
      <c r="E6" s="11">
        <f t="shared" si="0"/>
        <v>33.54</v>
      </c>
    </row>
    <row r="7" spans="1:5" ht="15.75" x14ac:dyDescent="0.25">
      <c r="A7" s="14" t="s">
        <v>21</v>
      </c>
      <c r="B7" s="7">
        <f>348+64</f>
        <v>412</v>
      </c>
      <c r="C7" s="7">
        <v>50.31</v>
      </c>
      <c r="D7" s="7">
        <v>0</v>
      </c>
      <c r="E7" s="11">
        <f t="shared" si="0"/>
        <v>462.31</v>
      </c>
    </row>
    <row r="8" spans="1:5" ht="15.75" x14ac:dyDescent="0.25">
      <c r="A8" s="14" t="s">
        <v>22</v>
      </c>
      <c r="B8" s="7">
        <v>336</v>
      </c>
      <c r="C8" s="7">
        <v>76.77</v>
      </c>
      <c r="D8" s="7">
        <v>383.2</v>
      </c>
      <c r="E8" s="11">
        <f t="shared" si="0"/>
        <v>795.97</v>
      </c>
    </row>
    <row r="9" spans="1:5" ht="15.75" x14ac:dyDescent="0.25">
      <c r="A9" s="14" t="s">
        <v>23</v>
      </c>
      <c r="B9" s="7">
        <v>256</v>
      </c>
      <c r="C9" s="7">
        <v>33.54</v>
      </c>
      <c r="D9" s="7">
        <v>99.5</v>
      </c>
      <c r="E9" s="11">
        <f t="shared" si="0"/>
        <v>389.04</v>
      </c>
    </row>
    <row r="10" spans="1:5" ht="30" customHeight="1" x14ac:dyDescent="0.25">
      <c r="A10" s="8" t="s">
        <v>5</v>
      </c>
      <c r="B10" s="9">
        <f>SUM(B4:B9)</f>
        <v>1268</v>
      </c>
      <c r="C10" s="9">
        <f t="shared" ref="C10:E10" si="1">SUM(C4:C9)</f>
        <v>334.47</v>
      </c>
      <c r="D10" s="9">
        <f t="shared" si="1"/>
        <v>627.70000000000005</v>
      </c>
      <c r="E10" s="9">
        <f t="shared" si="1"/>
        <v>2230.17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v>128</v>
      </c>
      <c r="C14" s="7">
        <v>16.77</v>
      </c>
      <c r="D14" s="7">
        <v>0</v>
      </c>
      <c r="E14" s="11">
        <f t="shared" si="0"/>
        <v>144.77000000000001</v>
      </c>
    </row>
    <row r="15" spans="1:5" ht="15.75" x14ac:dyDescent="0.25">
      <c r="A15" s="14" t="s">
        <v>25</v>
      </c>
      <c r="B15" s="7">
        <v>0</v>
      </c>
      <c r="C15" s="7">
        <v>0</v>
      </c>
      <c r="D15" s="7">
        <v>0</v>
      </c>
      <c r="E15" s="11">
        <f t="shared" si="0"/>
        <v>0</v>
      </c>
    </row>
    <row r="16" spans="1:5" ht="15.75" x14ac:dyDescent="0.25">
      <c r="A16" s="14" t="s">
        <v>26</v>
      </c>
      <c r="B16" s="7">
        <v>99.8</v>
      </c>
      <c r="C16" s="7">
        <v>16.77</v>
      </c>
      <c r="D16" s="7">
        <v>0</v>
      </c>
      <c r="E16" s="11">
        <f t="shared" si="0"/>
        <v>116.57</v>
      </c>
    </row>
    <row r="17" spans="1:5" ht="15.75" x14ac:dyDescent="0.25">
      <c r="A17" s="14" t="s">
        <v>27</v>
      </c>
      <c r="B17" s="7">
        <v>65</v>
      </c>
      <c r="C17" s="7">
        <v>80.31</v>
      </c>
      <c r="D17" s="7">
        <v>0</v>
      </c>
      <c r="E17" s="11">
        <f t="shared" si="0"/>
        <v>145.31</v>
      </c>
    </row>
    <row r="18" spans="1:5" ht="15.75" x14ac:dyDescent="0.25">
      <c r="A18" s="14" t="s">
        <v>28</v>
      </c>
      <c r="B18" s="7">
        <v>260</v>
      </c>
      <c r="C18" s="7">
        <v>200.31</v>
      </c>
      <c r="D18" s="7">
        <f>199+94.5</f>
        <v>293.5</v>
      </c>
      <c r="E18" s="11">
        <f t="shared" si="0"/>
        <v>753.81</v>
      </c>
    </row>
    <row r="19" spans="1:5" ht="15.75" x14ac:dyDescent="0.25">
      <c r="A19" s="14" t="s">
        <v>29</v>
      </c>
      <c r="B19" s="7">
        <v>130</v>
      </c>
      <c r="C19" s="7">
        <v>63.54</v>
      </c>
      <c r="D19" s="7">
        <v>0</v>
      </c>
      <c r="E19" s="11">
        <f t="shared" si="0"/>
        <v>193.54</v>
      </c>
    </row>
    <row r="20" spans="1:5" ht="27" customHeight="1" x14ac:dyDescent="0.25">
      <c r="A20" s="10" t="s">
        <v>5</v>
      </c>
      <c r="B20" s="9">
        <f>SUM(B14:B19)</f>
        <v>682.8</v>
      </c>
      <c r="C20" s="9">
        <f t="shared" ref="C20:E20" si="2">SUM(C14:C19)</f>
        <v>377.7</v>
      </c>
      <c r="D20" s="9">
        <f t="shared" si="2"/>
        <v>293.5</v>
      </c>
      <c r="E20" s="9">
        <f t="shared" si="2"/>
        <v>1354</v>
      </c>
    </row>
    <row r="21" spans="1:5" ht="36" customHeight="1" x14ac:dyDescent="0.25">
      <c r="A21" s="15" t="s">
        <v>30</v>
      </c>
      <c r="B21" s="9">
        <f>SUM(B10,B20)</f>
        <v>1950.8</v>
      </c>
      <c r="C21" s="9">
        <f t="shared" ref="C21:E21" si="3">SUM(C10,C20)</f>
        <v>712.17000000000007</v>
      </c>
      <c r="D21" s="9">
        <f t="shared" si="3"/>
        <v>921.2</v>
      </c>
      <c r="E21" s="9">
        <f t="shared" si="3"/>
        <v>3584.17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10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109.1+159.9</f>
        <v>269</v>
      </c>
      <c r="C4" s="7">
        <f>5.5+63.54</f>
        <v>69.039999999999992</v>
      </c>
      <c r="D4" s="7">
        <f>4.5+145</f>
        <v>149.5</v>
      </c>
      <c r="E4" s="11">
        <f>SUM(B4:D4)</f>
        <v>487.53999999999996</v>
      </c>
    </row>
    <row r="5" spans="1:5" ht="15.75" x14ac:dyDescent="0.25">
      <c r="A5" s="14" t="s">
        <v>19</v>
      </c>
      <c r="B5" s="7">
        <f>453.8+1028.64</f>
        <v>1482.44</v>
      </c>
      <c r="C5" s="7">
        <v>67.08</v>
      </c>
      <c r="D5" s="7">
        <v>305</v>
      </c>
      <c r="E5" s="11">
        <f t="shared" ref="E5:E19" si="0">SUM(B5:D5)</f>
        <v>1854.52</v>
      </c>
    </row>
    <row r="6" spans="1:5" ht="15.75" x14ac:dyDescent="0.25">
      <c r="A6" s="14" t="s">
        <v>20</v>
      </c>
      <c r="B6" s="7">
        <f>165.3+649.42</f>
        <v>814.72</v>
      </c>
      <c r="C6" s="7">
        <v>6</v>
      </c>
      <c r="D6" s="7">
        <v>0</v>
      </c>
      <c r="E6" s="11">
        <f t="shared" si="0"/>
        <v>820.72</v>
      </c>
    </row>
    <row r="7" spans="1:5" ht="15.75" x14ac:dyDescent="0.25">
      <c r="A7" s="14" t="s">
        <v>21</v>
      </c>
      <c r="B7" s="7">
        <f>38.45+237.4</f>
        <v>275.85000000000002</v>
      </c>
      <c r="C7" s="7">
        <f>18.65+50.31</f>
        <v>68.960000000000008</v>
      </c>
      <c r="D7" s="7">
        <v>283.5</v>
      </c>
      <c r="E7" s="11">
        <f t="shared" si="0"/>
        <v>628.31000000000006</v>
      </c>
    </row>
    <row r="8" spans="1:5" ht="15.75" x14ac:dyDescent="0.25">
      <c r="A8" s="14" t="s">
        <v>22</v>
      </c>
      <c r="B8" s="7">
        <f>54.5+464.81</f>
        <v>519.30999999999995</v>
      </c>
      <c r="C8" s="7">
        <v>13.29</v>
      </c>
      <c r="D8" s="7">
        <v>0</v>
      </c>
      <c r="E8" s="11">
        <f t="shared" si="0"/>
        <v>532.59999999999991</v>
      </c>
    </row>
    <row r="9" spans="1:5" ht="15.75" x14ac:dyDescent="0.25">
      <c r="A9" s="14" t="s">
        <v>23</v>
      </c>
      <c r="B9" s="7">
        <f>74.35+444.74</f>
        <v>519.09</v>
      </c>
      <c r="C9" s="7">
        <f>42.2+33.54</f>
        <v>75.740000000000009</v>
      </c>
      <c r="D9" s="7">
        <f>6+102</f>
        <v>108</v>
      </c>
      <c r="E9" s="11">
        <f t="shared" si="0"/>
        <v>702.83</v>
      </c>
    </row>
    <row r="10" spans="1:5" ht="30" customHeight="1" x14ac:dyDescent="0.25">
      <c r="A10" s="8" t="s">
        <v>5</v>
      </c>
      <c r="B10" s="9">
        <f>SUM(B4:B9)</f>
        <v>3880.41</v>
      </c>
      <c r="C10" s="9">
        <f t="shared" ref="C10:E10" si="1">SUM(C4:C9)</f>
        <v>300.11</v>
      </c>
      <c r="D10" s="9">
        <f t="shared" si="1"/>
        <v>846</v>
      </c>
      <c r="E10" s="9">
        <f t="shared" si="1"/>
        <v>5026.5199999999995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159.5+373.05</f>
        <v>532.54999999999995</v>
      </c>
      <c r="C14" s="7">
        <f>42.75+46.77</f>
        <v>89.52000000000001</v>
      </c>
      <c r="D14" s="7">
        <v>207.5</v>
      </c>
      <c r="E14" s="11">
        <f t="shared" si="0"/>
        <v>829.56999999999994</v>
      </c>
    </row>
    <row r="15" spans="1:5" ht="15.75" x14ac:dyDescent="0.25">
      <c r="A15" s="14" t="s">
        <v>25</v>
      </c>
      <c r="B15" s="7">
        <v>0</v>
      </c>
      <c r="C15" s="7">
        <v>0</v>
      </c>
      <c r="D15" s="7">
        <v>0</v>
      </c>
      <c r="E15" s="11">
        <f t="shared" si="0"/>
        <v>0</v>
      </c>
    </row>
    <row r="16" spans="1:5" ht="15.75" x14ac:dyDescent="0.25">
      <c r="A16" s="14" t="s">
        <v>26</v>
      </c>
      <c r="B16" s="7">
        <f>385.7+426.36</f>
        <v>812.06</v>
      </c>
      <c r="C16" s="7">
        <f>171.01+16.77</f>
        <v>187.78</v>
      </c>
      <c r="D16" s="7">
        <f>111.75+260.5</f>
        <v>372.25</v>
      </c>
      <c r="E16" s="11">
        <f t="shared" si="0"/>
        <v>1372.09</v>
      </c>
    </row>
    <row r="17" spans="1:5" ht="15.75" x14ac:dyDescent="0.25">
      <c r="A17" s="14" t="s">
        <v>27</v>
      </c>
      <c r="B17" s="7">
        <f>130.2+210.96</f>
        <v>341.15999999999997</v>
      </c>
      <c r="C17" s="7">
        <f>59+63.54</f>
        <v>122.53999999999999</v>
      </c>
      <c r="D17" s="7">
        <f>6+136</f>
        <v>142</v>
      </c>
      <c r="E17" s="11">
        <f t="shared" si="0"/>
        <v>605.69999999999993</v>
      </c>
    </row>
    <row r="18" spans="1:5" ht="15.75" x14ac:dyDescent="0.25">
      <c r="A18" s="14" t="s">
        <v>28</v>
      </c>
      <c r="B18" s="7">
        <f>194.2+421.86</f>
        <v>616.05999999999995</v>
      </c>
      <c r="C18" s="7">
        <f>51+106.77</f>
        <v>157.76999999999998</v>
      </c>
      <c r="D18" s="7">
        <v>191</v>
      </c>
      <c r="E18" s="11">
        <f t="shared" si="0"/>
        <v>964.82999999999993</v>
      </c>
    </row>
    <row r="19" spans="1:5" ht="15.75" x14ac:dyDescent="0.25">
      <c r="A19" s="14" t="s">
        <v>29</v>
      </c>
      <c r="B19" s="7">
        <f>217.8+350.96</f>
        <v>568.76</v>
      </c>
      <c r="C19" s="7">
        <f>94.7+63.54</f>
        <v>158.24</v>
      </c>
      <c r="D19" s="7">
        <v>198.5</v>
      </c>
      <c r="E19" s="11">
        <f t="shared" si="0"/>
        <v>925.5</v>
      </c>
    </row>
    <row r="20" spans="1:5" ht="27" customHeight="1" x14ac:dyDescent="0.25">
      <c r="A20" s="10" t="s">
        <v>5</v>
      </c>
      <c r="B20" s="9">
        <f>SUM(B14:B19)</f>
        <v>2870.59</v>
      </c>
      <c r="C20" s="9">
        <f t="shared" ref="C20:E20" si="2">SUM(C14:C19)</f>
        <v>715.85</v>
      </c>
      <c r="D20" s="9">
        <f t="shared" si="2"/>
        <v>1111.25</v>
      </c>
      <c r="E20" s="9">
        <f t="shared" si="2"/>
        <v>4697.6899999999996</v>
      </c>
    </row>
    <row r="21" spans="1:5" ht="36" customHeight="1" x14ac:dyDescent="0.25">
      <c r="A21" s="15" t="s">
        <v>30</v>
      </c>
      <c r="B21" s="9">
        <f>SUM(B10,B20)</f>
        <v>6751</v>
      </c>
      <c r="C21" s="9">
        <f t="shared" ref="C21:E21" si="3">SUM(C10,C20)</f>
        <v>1015.96</v>
      </c>
      <c r="D21" s="9">
        <f t="shared" si="3"/>
        <v>1957.25</v>
      </c>
      <c r="E21" s="9">
        <f t="shared" si="3"/>
        <v>9724.2099999999991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11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v>481</v>
      </c>
      <c r="C4" s="7">
        <v>63.54</v>
      </c>
      <c r="D4" s="7">
        <v>145</v>
      </c>
      <c r="E4" s="11">
        <f>SUM(B4:D4)</f>
        <v>689.54</v>
      </c>
    </row>
    <row r="5" spans="1:5" ht="15.75" x14ac:dyDescent="0.25">
      <c r="A5" s="14" t="s">
        <v>19</v>
      </c>
      <c r="B5" s="7">
        <f>498.7+574</f>
        <v>1072.7</v>
      </c>
      <c r="C5" s="7">
        <v>20</v>
      </c>
      <c r="D5" s="7">
        <f>6+199</f>
        <v>205</v>
      </c>
      <c r="E5" s="11">
        <f t="shared" ref="E5:E19" si="0">SUM(B5:D5)</f>
        <v>1297.7</v>
      </c>
    </row>
    <row r="6" spans="1:5" ht="15.75" x14ac:dyDescent="0.25">
      <c r="A6" s="14" t="s">
        <v>20</v>
      </c>
      <c r="B6" s="7">
        <f>131.8+594</f>
        <v>725.8</v>
      </c>
      <c r="C6" s="7">
        <f>5.9+46.77</f>
        <v>52.67</v>
      </c>
      <c r="D6" s="7">
        <f>104+185.5</f>
        <v>289.5</v>
      </c>
      <c r="E6" s="11">
        <f t="shared" si="0"/>
        <v>1067.9699999999998</v>
      </c>
    </row>
    <row r="7" spans="1:5" ht="15.75" x14ac:dyDescent="0.25">
      <c r="A7" s="14" t="s">
        <v>21</v>
      </c>
      <c r="B7" s="7">
        <f>147.35+441.98</f>
        <v>589.33000000000004</v>
      </c>
      <c r="C7" s="7">
        <f>22+97.08</f>
        <v>119.08</v>
      </c>
      <c r="D7" s="7">
        <v>549.5</v>
      </c>
      <c r="E7" s="11">
        <f t="shared" si="0"/>
        <v>1257.9100000000001</v>
      </c>
    </row>
    <row r="8" spans="1:5" ht="15.75" x14ac:dyDescent="0.25">
      <c r="A8" s="14" t="s">
        <v>22</v>
      </c>
      <c r="B8" s="7">
        <f>211.5+208</f>
        <v>419.5</v>
      </c>
      <c r="C8" s="7">
        <f>77.09+46.77</f>
        <v>123.86000000000001</v>
      </c>
      <c r="D8" s="7">
        <f>6+130</f>
        <v>136</v>
      </c>
      <c r="E8" s="11">
        <f t="shared" si="0"/>
        <v>679.36</v>
      </c>
    </row>
    <row r="9" spans="1:5" ht="15.75" x14ac:dyDescent="0.25">
      <c r="A9" s="14" t="s">
        <v>23</v>
      </c>
      <c r="B9" s="7">
        <f>82.3+208</f>
        <v>290.3</v>
      </c>
      <c r="C9" s="7">
        <f>36.8+50.31</f>
        <v>87.11</v>
      </c>
      <c r="D9" s="7">
        <v>519</v>
      </c>
      <c r="E9" s="11">
        <f t="shared" si="0"/>
        <v>896.41000000000008</v>
      </c>
    </row>
    <row r="10" spans="1:5" ht="30" customHeight="1" x14ac:dyDescent="0.25">
      <c r="A10" s="8" t="s">
        <v>5</v>
      </c>
      <c r="B10" s="9">
        <f>SUM(B4:B9)</f>
        <v>3578.63</v>
      </c>
      <c r="C10" s="9">
        <f t="shared" ref="C10:E10" si="1">SUM(C4:C9)</f>
        <v>466.26</v>
      </c>
      <c r="D10" s="9">
        <f t="shared" si="1"/>
        <v>1844</v>
      </c>
      <c r="E10" s="9">
        <f t="shared" si="1"/>
        <v>5888.8899999999994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154.6+208</f>
        <v>362.6</v>
      </c>
      <c r="C14" s="7">
        <f>42.8+76.77</f>
        <v>119.57</v>
      </c>
      <c r="D14" s="7">
        <f>12+196</f>
        <v>208</v>
      </c>
      <c r="E14" s="11">
        <f t="shared" si="0"/>
        <v>690.17000000000007</v>
      </c>
    </row>
    <row r="15" spans="1:5" ht="15.75" x14ac:dyDescent="0.25">
      <c r="A15" s="14" t="s">
        <v>25</v>
      </c>
      <c r="B15" s="7">
        <v>169.8</v>
      </c>
      <c r="C15" s="7">
        <v>0</v>
      </c>
      <c r="D15" s="7">
        <v>95</v>
      </c>
      <c r="E15" s="11">
        <f t="shared" si="0"/>
        <v>264.8</v>
      </c>
    </row>
    <row r="16" spans="1:5" ht="15.75" x14ac:dyDescent="0.25">
      <c r="A16" s="14" t="s">
        <v>26</v>
      </c>
      <c r="B16" s="7">
        <f>253.5+183.9</f>
        <v>437.4</v>
      </c>
      <c r="C16" s="7">
        <f>75.5+16.77</f>
        <v>92.27</v>
      </c>
      <c r="D16" s="7">
        <f>12+330.5</f>
        <v>342.5</v>
      </c>
      <c r="E16" s="11">
        <f t="shared" si="0"/>
        <v>872.17</v>
      </c>
    </row>
    <row r="17" spans="1:5" ht="15.75" x14ac:dyDescent="0.25">
      <c r="A17" s="14" t="s">
        <v>27</v>
      </c>
      <c r="B17" s="7">
        <f>114.3+183.9</f>
        <v>298.2</v>
      </c>
      <c r="C17" s="7">
        <f>20.9+80.31</f>
        <v>101.21000000000001</v>
      </c>
      <c r="D17" s="7">
        <v>148</v>
      </c>
      <c r="E17" s="11">
        <f t="shared" si="0"/>
        <v>547.41</v>
      </c>
    </row>
    <row r="18" spans="1:5" ht="15.75" x14ac:dyDescent="0.25">
      <c r="A18" s="14" t="s">
        <v>28</v>
      </c>
      <c r="B18" s="7">
        <f>69.2+177.7</f>
        <v>246.89999999999998</v>
      </c>
      <c r="C18" s="7">
        <v>170.31</v>
      </c>
      <c r="D18" s="7">
        <v>369</v>
      </c>
      <c r="E18" s="11">
        <f t="shared" si="0"/>
        <v>786.21</v>
      </c>
    </row>
    <row r="19" spans="1:5" ht="15.75" x14ac:dyDescent="0.25">
      <c r="A19" s="14" t="s">
        <v>29</v>
      </c>
      <c r="B19" s="7">
        <f>133.5+208</f>
        <v>341.5</v>
      </c>
      <c r="C19" s="7">
        <f>46.6+80.31</f>
        <v>126.91</v>
      </c>
      <c r="D19" s="7">
        <v>219.5</v>
      </c>
      <c r="E19" s="11">
        <f t="shared" si="0"/>
        <v>687.91</v>
      </c>
    </row>
    <row r="20" spans="1:5" ht="27" customHeight="1" x14ac:dyDescent="0.25">
      <c r="A20" s="10" t="s">
        <v>5</v>
      </c>
      <c r="B20" s="9">
        <f>SUM(B14:B19)</f>
        <v>1856.4</v>
      </c>
      <c r="C20" s="9">
        <f t="shared" ref="C20:E20" si="2">SUM(C14:C19)</f>
        <v>610.27</v>
      </c>
      <c r="D20" s="9">
        <f t="shared" si="2"/>
        <v>1382</v>
      </c>
      <c r="E20" s="9">
        <f t="shared" si="2"/>
        <v>3848.6699999999996</v>
      </c>
    </row>
    <row r="21" spans="1:5" ht="36" customHeight="1" x14ac:dyDescent="0.25">
      <c r="A21" s="15" t="s">
        <v>30</v>
      </c>
      <c r="B21" s="9">
        <f>SUM(B10,B20)</f>
        <v>5435.0300000000007</v>
      </c>
      <c r="C21" s="9">
        <f t="shared" ref="C21:E21" si="3">SUM(C10,C20)</f>
        <v>1076.53</v>
      </c>
      <c r="D21" s="9">
        <f t="shared" si="3"/>
        <v>3226</v>
      </c>
      <c r="E21" s="9">
        <f t="shared" si="3"/>
        <v>9737.56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12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438.6+233.92</f>
        <v>672.52</v>
      </c>
      <c r="C4" s="7">
        <v>140.31</v>
      </c>
      <c r="D4" s="7">
        <f>75.5+245</f>
        <v>320.5</v>
      </c>
      <c r="E4" s="11">
        <f>SUM(B4:D4)</f>
        <v>1133.33</v>
      </c>
    </row>
    <row r="5" spans="1:5" ht="15.75" x14ac:dyDescent="0.25">
      <c r="A5" s="14" t="s">
        <v>19</v>
      </c>
      <c r="B5" s="7">
        <f>1337.29+408.64</f>
        <v>1745.9299999999998</v>
      </c>
      <c r="C5" s="7">
        <f>138.5+150</f>
        <v>288.5</v>
      </c>
      <c r="D5" s="7">
        <f>238+398</f>
        <v>636</v>
      </c>
      <c r="E5" s="11">
        <f t="shared" ref="E5:E19" si="0">SUM(B5:D5)</f>
        <v>2670.43</v>
      </c>
    </row>
    <row r="6" spans="1:5" ht="15.75" x14ac:dyDescent="0.25">
      <c r="A6" s="14" t="s">
        <v>20</v>
      </c>
      <c r="B6" s="7">
        <f>590.8+924.01</f>
        <v>1514.81</v>
      </c>
      <c r="C6" s="7">
        <f>50+33.54</f>
        <v>83.539999999999992</v>
      </c>
      <c r="D6" s="7">
        <f>324+588</f>
        <v>912</v>
      </c>
      <c r="E6" s="11">
        <f t="shared" si="0"/>
        <v>2510.35</v>
      </c>
    </row>
    <row r="7" spans="1:5" ht="15.75" x14ac:dyDescent="0.25">
      <c r="A7" s="14" t="s">
        <v>21</v>
      </c>
      <c r="B7" s="7">
        <f>961.51+74</f>
        <v>1035.51</v>
      </c>
      <c r="C7" s="7">
        <f>105+110.31</f>
        <v>215.31</v>
      </c>
      <c r="D7" s="7">
        <f>266+94.5</f>
        <v>360.5</v>
      </c>
      <c r="E7" s="11">
        <f t="shared" si="0"/>
        <v>1611.32</v>
      </c>
    </row>
    <row r="8" spans="1:5" ht="15.75" x14ac:dyDescent="0.25">
      <c r="A8" s="14" t="s">
        <v>22</v>
      </c>
      <c r="B8" s="7">
        <v>922.63</v>
      </c>
      <c r="C8" s="7">
        <f>72.3+213.54</f>
        <v>285.83999999999997</v>
      </c>
      <c r="D8" s="7">
        <f>14+1539.69</f>
        <v>1553.69</v>
      </c>
      <c r="E8" s="11">
        <f t="shared" si="0"/>
        <v>2762.16</v>
      </c>
    </row>
    <row r="9" spans="1:5" ht="15.75" x14ac:dyDescent="0.25">
      <c r="A9" s="14" t="s">
        <v>23</v>
      </c>
      <c r="B9" s="7">
        <f>1199.48+148</f>
        <v>1347.48</v>
      </c>
      <c r="C9" s="7">
        <f>231.7+200.31</f>
        <v>432.01</v>
      </c>
      <c r="D9" s="7">
        <f>300.5+313.5</f>
        <v>614</v>
      </c>
      <c r="E9" s="11">
        <f t="shared" si="0"/>
        <v>2393.4899999999998</v>
      </c>
    </row>
    <row r="10" spans="1:5" ht="30" customHeight="1" x14ac:dyDescent="0.25">
      <c r="A10" s="8" t="s">
        <v>5</v>
      </c>
      <c r="B10" s="9">
        <f>SUM(B4:B9)</f>
        <v>7238.8799999999992</v>
      </c>
      <c r="C10" s="9">
        <f t="shared" ref="C10:E10" si="1">SUM(C4:C9)</f>
        <v>1445.51</v>
      </c>
      <c r="D10" s="9">
        <f t="shared" si="1"/>
        <v>4396.6900000000005</v>
      </c>
      <c r="E10" s="9">
        <f t="shared" si="1"/>
        <v>13081.08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v>670.26</v>
      </c>
      <c r="C14" s="7">
        <f>66.4+230.31</f>
        <v>296.71000000000004</v>
      </c>
      <c r="D14" s="7">
        <f>410+398</f>
        <v>808</v>
      </c>
      <c r="E14" s="11">
        <f t="shared" si="0"/>
        <v>1774.97</v>
      </c>
    </row>
    <row r="15" spans="1:5" ht="15.75" x14ac:dyDescent="0.25">
      <c r="A15" s="14" t="s">
        <v>25</v>
      </c>
      <c r="B15" s="7">
        <v>0</v>
      </c>
      <c r="C15" s="7">
        <v>0</v>
      </c>
      <c r="D15" s="7">
        <v>212</v>
      </c>
      <c r="E15" s="11">
        <f t="shared" si="0"/>
        <v>212</v>
      </c>
    </row>
    <row r="16" spans="1:5" ht="15.75" x14ac:dyDescent="0.25">
      <c r="A16" s="14" t="s">
        <v>26</v>
      </c>
      <c r="B16" s="7">
        <f>663.91+534</f>
        <v>1197.9099999999999</v>
      </c>
      <c r="C16" s="7">
        <f>128+173.85</f>
        <v>301.85000000000002</v>
      </c>
      <c r="D16" s="7">
        <f>6+649</f>
        <v>655</v>
      </c>
      <c r="E16" s="11">
        <f t="shared" si="0"/>
        <v>2154.7599999999998</v>
      </c>
    </row>
    <row r="17" spans="1:5" ht="15.75" x14ac:dyDescent="0.25">
      <c r="A17" s="14" t="s">
        <v>27</v>
      </c>
      <c r="B17" s="7">
        <f>447.2+555.8</f>
        <v>1003</v>
      </c>
      <c r="C17" s="7">
        <f>58+230.31</f>
        <v>288.31</v>
      </c>
      <c r="D17" s="7">
        <v>844.5</v>
      </c>
      <c r="E17" s="11">
        <f t="shared" si="0"/>
        <v>2135.81</v>
      </c>
    </row>
    <row r="18" spans="1:5" ht="15.75" x14ac:dyDescent="0.25">
      <c r="A18" s="14" t="s">
        <v>28</v>
      </c>
      <c r="B18" s="7">
        <f>440.46+296</f>
        <v>736.46</v>
      </c>
      <c r="C18" s="7">
        <f>33.5+260.31</f>
        <v>293.81</v>
      </c>
      <c r="D18" s="7">
        <v>526</v>
      </c>
      <c r="E18" s="11">
        <f t="shared" si="0"/>
        <v>1556.27</v>
      </c>
    </row>
    <row r="19" spans="1:5" ht="15.75" x14ac:dyDescent="0.25">
      <c r="A19" s="14" t="s">
        <v>29</v>
      </c>
      <c r="B19" s="7">
        <f>416.5+267</f>
        <v>683.5</v>
      </c>
      <c r="C19" s="7">
        <f>39.15+63.54</f>
        <v>102.69</v>
      </c>
      <c r="D19" s="7">
        <f>98.5+283.5</f>
        <v>382</v>
      </c>
      <c r="E19" s="11">
        <f t="shared" si="0"/>
        <v>1168.19</v>
      </c>
    </row>
    <row r="20" spans="1:5" ht="27" customHeight="1" x14ac:dyDescent="0.25">
      <c r="A20" s="10" t="s">
        <v>5</v>
      </c>
      <c r="B20" s="9">
        <f>SUM(B14:B19)</f>
        <v>4291.13</v>
      </c>
      <c r="C20" s="9">
        <f t="shared" ref="C20:E20" si="2">SUM(C14:C19)</f>
        <v>1283.3700000000001</v>
      </c>
      <c r="D20" s="9">
        <f t="shared" si="2"/>
        <v>3427.5</v>
      </c>
      <c r="E20" s="9">
        <f t="shared" si="2"/>
        <v>9002</v>
      </c>
    </row>
    <row r="21" spans="1:5" ht="36" customHeight="1" x14ac:dyDescent="0.25">
      <c r="A21" s="15" t="s">
        <v>30</v>
      </c>
      <c r="B21" s="9">
        <f>SUM(B10,B20)</f>
        <v>11530.009999999998</v>
      </c>
      <c r="C21" s="9">
        <f t="shared" ref="C21:E21" si="3">SUM(C10,C20)</f>
        <v>2728.88</v>
      </c>
      <c r="D21" s="9">
        <f t="shared" si="3"/>
        <v>7824.1900000000005</v>
      </c>
      <c r="E21" s="9">
        <f t="shared" si="3"/>
        <v>22083.08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Riepilogo anno 2016</vt:lpstr>
      <vt:lpstr>Silvestri</vt:lpstr>
      <vt:lpstr>Pratola</vt:lpstr>
      <vt:lpstr>Cassano</vt:lpstr>
      <vt:lpstr>Del Re</vt:lpstr>
      <vt:lpstr>De Renzis</vt:lpstr>
      <vt:lpstr>Ferrante</vt:lpstr>
      <vt:lpstr>Giorgi</vt:lpstr>
      <vt:lpstr>Leo</vt:lpstr>
      <vt:lpstr>Melis</vt:lpstr>
      <vt:lpstr>Morlini</vt:lpstr>
      <vt:lpstr>Napolitano</vt:lpstr>
      <vt:lpstr>Perilli</vt:lpstr>
      <vt:lpstr>Russo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 CD anno 2016</dc:title>
  <dc:creator>Laura Liverani</dc:creator>
  <cp:lastModifiedBy>nadia.crescenzi</cp:lastModifiedBy>
  <cp:lastPrinted>2017-10-12T09:45:36Z</cp:lastPrinted>
  <dcterms:created xsi:type="dcterms:W3CDTF">2017-10-04T10:08:06Z</dcterms:created>
  <dcterms:modified xsi:type="dcterms:W3CDTF">2017-10-17T11:17:39Z</dcterms:modified>
</cp:coreProperties>
</file>